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BF76EE71-B549-48B4-B66F-1C2D8089E799}" xr6:coauthVersionLast="47" xr6:coauthVersionMax="47" xr10:uidLastSave="{00000000-0000-0000-0000-000000000000}"/>
  <bookViews>
    <workbookView xWindow="28635" yWindow="-165" windowWidth="29130" windowHeight="16080" xr2:uid="{350997F5-4182-4E2D-946E-97A39461977A}"/>
  </bookViews>
  <sheets>
    <sheet name="補助額試算表" sheetId="6" r:id="rId1"/>
    <sheet name="課税証明書" sheetId="5" state="hidden" r:id="rId2"/>
  </sheets>
  <definedNames>
    <definedName name="_xlnm.Print_Area" localSheetId="0">補助額試算表!$A$1:$K$64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6" l="1"/>
  <c r="L51" i="6" s="1"/>
  <c r="B49" i="6"/>
  <c r="L50" i="6" s="1"/>
  <c r="O44" i="6"/>
  <c r="N44" i="6"/>
  <c r="O42" i="6"/>
  <c r="N42" i="6"/>
  <c r="O37" i="6"/>
  <c r="N37" i="6"/>
  <c r="O36" i="6"/>
  <c r="N36" i="6"/>
  <c r="O35" i="6"/>
  <c r="N35" i="6"/>
  <c r="O34" i="6"/>
  <c r="N34" i="6"/>
  <c r="O33" i="6"/>
  <c r="N33" i="6"/>
  <c r="O32" i="6"/>
  <c r="N32" i="6"/>
  <c r="K32" i="6"/>
  <c r="I32" i="6"/>
  <c r="K31" i="6"/>
  <c r="I31" i="6"/>
  <c r="C31" i="6"/>
  <c r="O31" i="6" s="1"/>
  <c r="O30" i="6" s="1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0" i="6"/>
  <c r="N20" i="6"/>
  <c r="O19" i="6"/>
  <c r="N19" i="6"/>
  <c r="O18" i="6"/>
  <c r="N18" i="6"/>
  <c r="O17" i="6"/>
  <c r="N17" i="6"/>
  <c r="O16" i="6"/>
  <c r="N16" i="6"/>
  <c r="O15" i="6"/>
  <c r="N15" i="6"/>
  <c r="N14" i="6" s="1"/>
  <c r="O13" i="6"/>
  <c r="N13" i="6"/>
  <c r="K11" i="6"/>
  <c r="I11" i="6"/>
  <c r="K10" i="6"/>
  <c r="I10" i="6"/>
  <c r="C10" i="6"/>
  <c r="N31" i="6" s="1"/>
  <c r="N30" i="6" s="1"/>
  <c r="O9" i="6"/>
  <c r="N9" i="6"/>
  <c r="L54" i="6" l="1"/>
  <c r="N87" i="6" s="1"/>
  <c r="N10" i="6"/>
  <c r="O43" i="6"/>
  <c r="O41" i="6" s="1"/>
  <c r="N43" i="6"/>
  <c r="N41" i="6" s="1"/>
  <c r="N21" i="6"/>
  <c r="N12" i="6" s="1"/>
  <c r="J21" i="6" s="1"/>
  <c r="O14" i="6"/>
  <c r="O22" i="6"/>
  <c r="O10" i="6"/>
  <c r="N22" i="6"/>
  <c r="O21" i="6"/>
  <c r="O12" i="6" s="1"/>
  <c r="N39" i="6" l="1"/>
  <c r="J22" i="6" s="1"/>
  <c r="P77" i="6" s="1"/>
  <c r="J42" i="6"/>
  <c r="O39" i="6"/>
  <c r="N46" i="6" l="1"/>
  <c r="J23" i="6" s="1"/>
  <c r="T77" i="6" s="1"/>
  <c r="O46" i="6"/>
  <c r="J44" i="6" s="1"/>
  <c r="T78" i="6" s="1"/>
  <c r="J43" i="6"/>
  <c r="P78" i="6" s="1"/>
  <c r="P79" i="6" l="1"/>
  <c r="R77" i="6" s="1"/>
  <c r="V77" i="6" l="1"/>
  <c r="B56" i="6" s="1"/>
  <c r="R78" i="6"/>
  <c r="V78" i="6" s="1"/>
  <c r="B57" i="6" s="1"/>
  <c r="B58" i="6" l="1"/>
  <c r="V79" i="6" s="1"/>
  <c r="S82" i="6" l="1"/>
  <c r="F61" i="6" s="1"/>
  <c r="Q82" i="6"/>
  <c r="R82" i="6"/>
  <c r="F60" i="6" s="1"/>
  <c r="V82" i="6"/>
  <c r="P82" i="6"/>
  <c r="A61" i="6" s="1"/>
  <c r="W82" i="6"/>
  <c r="F57" i="6" s="1"/>
  <c r="F58" i="6" s="1"/>
  <c r="J11" i="5"/>
  <c r="J8" i="5"/>
  <c r="J12" i="5" s="1"/>
  <c r="F59" i="6" l="1"/>
  <c r="F56" i="6" s="1"/>
  <c r="F62" i="6" s="1"/>
</calcChain>
</file>

<file path=xl/sharedStrings.xml><?xml version="1.0" encoding="utf-8"?>
<sst xmlns="http://schemas.openxmlformats.org/spreadsheetml/2006/main" count="286" uniqueCount="189">
  <si>
    <t>保護者１</t>
    <rPh sb="0" eb="3">
      <t>ホゴシャ</t>
    </rPh>
    <phoneticPr fontId="3"/>
  </si>
  <si>
    <t>課税所得</t>
    <rPh sb="0" eb="2">
      <t>カゼイ</t>
    </rPh>
    <rPh sb="2" eb="4">
      <t>ショトク</t>
    </rPh>
    <phoneticPr fontId="3"/>
  </si>
  <si>
    <t>所得金額</t>
    <rPh sb="0" eb="2">
      <t>ショトク</t>
    </rPh>
    <rPh sb="2" eb="4">
      <t>キンガク</t>
    </rPh>
    <phoneticPr fontId="3"/>
  </si>
  <si>
    <t>▼保護者１▼</t>
    <rPh sb="1" eb="4">
      <t>ホゴシャ</t>
    </rPh>
    <phoneticPr fontId="3"/>
  </si>
  <si>
    <t>収入金額</t>
    <rPh sb="0" eb="2">
      <t>シュウニュウ</t>
    </rPh>
    <rPh sb="2" eb="4">
      <t>キンガク</t>
    </rPh>
    <phoneticPr fontId="3"/>
  </si>
  <si>
    <t>控除対象配偶者</t>
    <rPh sb="0" eb="2">
      <t>コウジョ</t>
    </rPh>
    <rPh sb="2" eb="4">
      <t>タイショウ</t>
    </rPh>
    <rPh sb="4" eb="7">
      <t>ハイグウシャ</t>
    </rPh>
    <phoneticPr fontId="3"/>
  </si>
  <si>
    <t>特定</t>
    <rPh sb="0" eb="2">
      <t>トクテイ</t>
    </rPh>
    <phoneticPr fontId="3"/>
  </si>
  <si>
    <t>老人</t>
    <rPh sb="0" eb="2">
      <t>ロウジン</t>
    </rPh>
    <phoneticPr fontId="3"/>
  </si>
  <si>
    <t>その他</t>
    <rPh sb="2" eb="3">
      <t>タ</t>
    </rPh>
    <phoneticPr fontId="3"/>
  </si>
  <si>
    <t>障害</t>
    <rPh sb="0" eb="2">
      <t>ショウガイ</t>
    </rPh>
    <phoneticPr fontId="3"/>
  </si>
  <si>
    <t>特別障害</t>
    <rPh sb="0" eb="2">
      <t>トクベツ</t>
    </rPh>
    <rPh sb="2" eb="4">
      <t>ショウガイ</t>
    </rPh>
    <phoneticPr fontId="3"/>
  </si>
  <si>
    <t>勤労学生</t>
    <rPh sb="0" eb="2">
      <t>キンロウ</t>
    </rPh>
    <rPh sb="2" eb="4">
      <t>ガクセイ</t>
    </rPh>
    <phoneticPr fontId="3"/>
  </si>
  <si>
    <t>▼保護者２▼</t>
    <rPh sb="1" eb="4">
      <t>ホゴシャ</t>
    </rPh>
    <phoneticPr fontId="3"/>
  </si>
  <si>
    <t>　うち就学支援金</t>
    <rPh sb="3" eb="5">
      <t>シュウガク</t>
    </rPh>
    <rPh sb="5" eb="8">
      <t>シエンキン</t>
    </rPh>
    <phoneticPr fontId="3"/>
  </si>
  <si>
    <t>　うち県独自補助</t>
    <rPh sb="3" eb="4">
      <t>ケン</t>
    </rPh>
    <rPh sb="4" eb="6">
      <t>ドクジ</t>
    </rPh>
    <rPh sb="6" eb="8">
      <t>ホジョ</t>
    </rPh>
    <phoneticPr fontId="3"/>
  </si>
  <si>
    <t>控除対象扶養親族数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スウ</t>
    </rPh>
    <phoneticPr fontId="3"/>
  </si>
  <si>
    <t>同居老人</t>
    <rPh sb="0" eb="2">
      <t>ドウキョ</t>
    </rPh>
    <rPh sb="2" eb="4">
      <t>ロウジン</t>
    </rPh>
    <phoneticPr fontId="3"/>
  </si>
  <si>
    <t>特別</t>
    <rPh sb="0" eb="2">
      <t>トクベツ</t>
    </rPh>
    <phoneticPr fontId="3"/>
  </si>
  <si>
    <t>特別（同居）</t>
    <rPh sb="0" eb="2">
      <t>トクベツ</t>
    </rPh>
    <rPh sb="3" eb="5">
      <t>ドウキョ</t>
    </rPh>
    <phoneticPr fontId="3"/>
  </si>
  <si>
    <t>地震保険料の金額</t>
    <rPh sb="0" eb="2">
      <t>ジシン</t>
    </rPh>
    <rPh sb="2" eb="5">
      <t>ホケンリョウ</t>
    </rPh>
    <rPh sb="6" eb="8">
      <t>キンガク</t>
    </rPh>
    <phoneticPr fontId="3"/>
  </si>
  <si>
    <t>新生命</t>
    <rPh sb="0" eb="1">
      <t>シン</t>
    </rPh>
    <rPh sb="1" eb="3">
      <t>セイメイ</t>
    </rPh>
    <phoneticPr fontId="3"/>
  </si>
  <si>
    <t>旧生命</t>
    <rPh sb="0" eb="1">
      <t>キュウ</t>
    </rPh>
    <rPh sb="1" eb="3">
      <t>セイメイ</t>
    </rPh>
    <phoneticPr fontId="3"/>
  </si>
  <si>
    <t>介護医療</t>
    <rPh sb="0" eb="2">
      <t>カイゴ</t>
    </rPh>
    <rPh sb="2" eb="4">
      <t>イリョウ</t>
    </rPh>
    <phoneticPr fontId="3"/>
  </si>
  <si>
    <t>配偶者の合計所得</t>
    <rPh sb="0" eb="3">
      <t>ハイグウシャ</t>
    </rPh>
    <rPh sb="4" eb="6">
      <t>ゴウケイ</t>
    </rPh>
    <rPh sb="6" eb="8">
      <t>ショトク</t>
    </rPh>
    <phoneticPr fontId="3"/>
  </si>
  <si>
    <t>障害者</t>
    <rPh sb="0" eb="1">
      <t>ショウ</t>
    </rPh>
    <rPh sb="1" eb="2">
      <t>ガイ</t>
    </rPh>
    <rPh sb="2" eb="3">
      <t>シャ</t>
    </rPh>
    <phoneticPr fontId="3"/>
  </si>
  <si>
    <t>寡婦</t>
    <rPh sb="0" eb="2">
      <t>カフ</t>
    </rPh>
    <phoneticPr fontId="3"/>
  </si>
  <si>
    <t>一般</t>
    <rPh sb="0" eb="2">
      <t>イッパン</t>
    </rPh>
    <phoneticPr fontId="3"/>
  </si>
  <si>
    <t>16歳未満
扶養親族数</t>
    <rPh sb="2" eb="5">
      <t>サイミマン</t>
    </rPh>
    <rPh sb="6" eb="8">
      <t>フヨウ</t>
    </rPh>
    <rPh sb="8" eb="10">
      <t>シンゾク</t>
    </rPh>
    <rPh sb="10" eb="11">
      <t>スウ</t>
    </rPh>
    <phoneticPr fontId="3"/>
  </si>
  <si>
    <t>＜扶養の状況＞</t>
    <rPh sb="1" eb="3">
      <t>フヨウ</t>
    </rPh>
    <rPh sb="4" eb="6">
      <t>ジョウキョウ</t>
    </rPh>
    <phoneticPr fontId="3"/>
  </si>
  <si>
    <t>＜本人該当区分＞</t>
    <rPh sb="1" eb="3">
      <t>ホンニン</t>
    </rPh>
    <rPh sb="3" eb="5">
      <t>ガイトウ</t>
    </rPh>
    <rPh sb="5" eb="7">
      <t>クブン</t>
    </rPh>
    <phoneticPr fontId="3"/>
  </si>
  <si>
    <t>＜各種支払金額＞</t>
    <rPh sb="1" eb="3">
      <t>カクシュ</t>
    </rPh>
    <rPh sb="3" eb="5">
      <t>シハライ</t>
    </rPh>
    <rPh sb="5" eb="7">
      <t>キンガク</t>
    </rPh>
    <phoneticPr fontId="3"/>
  </si>
  <si>
    <t>＜所得の状況＞</t>
    <rPh sb="1" eb="3">
      <t>ショトク</t>
    </rPh>
    <rPh sb="4" eb="6">
      <t>ジョウキョウ</t>
    </rPh>
    <phoneticPr fontId="3"/>
  </si>
  <si>
    <t>住所：</t>
    <rPh sb="0" eb="2">
      <t>ジュウショ</t>
    </rPh>
    <phoneticPr fontId="3"/>
  </si>
  <si>
    <t>判定額</t>
    <rPh sb="0" eb="2">
      <t>ハンテイ</t>
    </rPh>
    <rPh sb="2" eb="3">
      <t>ガク</t>
    </rPh>
    <phoneticPr fontId="3"/>
  </si>
  <si>
    <t>所得控除</t>
    <rPh sb="0" eb="2">
      <t>ショトク</t>
    </rPh>
    <rPh sb="2" eb="4">
      <t>コウジョ</t>
    </rPh>
    <phoneticPr fontId="3"/>
  </si>
  <si>
    <t>社保料</t>
    <rPh sb="0" eb="2">
      <t>シャホ</t>
    </rPh>
    <rPh sb="2" eb="3">
      <t>リョウ</t>
    </rPh>
    <phoneticPr fontId="3"/>
  </si>
  <si>
    <t>生保</t>
    <rPh sb="0" eb="2">
      <t>セイホ</t>
    </rPh>
    <phoneticPr fontId="3"/>
  </si>
  <si>
    <t>地震</t>
    <rPh sb="0" eb="2">
      <t>ジシン</t>
    </rPh>
    <phoneticPr fontId="3"/>
  </si>
  <si>
    <t>新個人</t>
    <rPh sb="0" eb="1">
      <t>シン</t>
    </rPh>
    <rPh sb="1" eb="3">
      <t>コジン</t>
    </rPh>
    <phoneticPr fontId="3"/>
  </si>
  <si>
    <t>旧個人</t>
    <rPh sb="0" eb="1">
      <t>キュウ</t>
    </rPh>
    <rPh sb="1" eb="3">
      <t>コジン</t>
    </rPh>
    <phoneticPr fontId="3"/>
  </si>
  <si>
    <t>扶養</t>
    <rPh sb="0" eb="2">
      <t>フヨウ</t>
    </rPh>
    <phoneticPr fontId="3"/>
  </si>
  <si>
    <t>配偶者</t>
    <rPh sb="0" eb="3">
      <t>ハイグウシャ</t>
    </rPh>
    <phoneticPr fontId="3"/>
  </si>
  <si>
    <t>本人</t>
    <rPh sb="0" eb="2">
      <t>ホンニン</t>
    </rPh>
    <phoneticPr fontId="3"/>
  </si>
  <si>
    <t>基礎</t>
    <rPh sb="0" eb="2">
      <t>キソ</t>
    </rPh>
    <phoneticPr fontId="3"/>
  </si>
  <si>
    <t>人的控除差</t>
    <rPh sb="0" eb="2">
      <t>ジンテキ</t>
    </rPh>
    <rPh sb="2" eb="4">
      <t>コウジョ</t>
    </rPh>
    <rPh sb="4" eb="5">
      <t>サ</t>
    </rPh>
    <phoneticPr fontId="3"/>
  </si>
  <si>
    <t>調整控除</t>
    <rPh sb="0" eb="2">
      <t>チョウセイ</t>
    </rPh>
    <rPh sb="2" eb="4">
      <t>コウジョ</t>
    </rPh>
    <phoneticPr fontId="3"/>
  </si>
  <si>
    <t>配偶者特別控除</t>
    <rPh sb="0" eb="7">
      <t>ハイグウシャトクベツコウジョ</t>
    </rPh>
    <phoneticPr fontId="3"/>
  </si>
  <si>
    <t>&lt;=9000000</t>
    <phoneticPr fontId="3"/>
  </si>
  <si>
    <t>9000000&lt;&lt;=9500000</t>
    <phoneticPr fontId="3"/>
  </si>
  <si>
    <t>9500000&lt;&lt;=10000000</t>
    <phoneticPr fontId="3"/>
  </si>
  <si>
    <t>保護者２</t>
    <rPh sb="0" eb="3">
      <t>ホゴシャ</t>
    </rPh>
    <phoneticPr fontId="3"/>
  </si>
  <si>
    <t>850000&lt;</t>
    <phoneticPr fontId="3"/>
  </si>
  <si>
    <t>1000000&lt;</t>
    <phoneticPr fontId="3"/>
  </si>
  <si>
    <t>1050000&lt;</t>
    <phoneticPr fontId="3"/>
  </si>
  <si>
    <t>1100000&lt;</t>
    <phoneticPr fontId="3"/>
  </si>
  <si>
    <t>1150000&lt;</t>
    <phoneticPr fontId="3"/>
  </si>
  <si>
    <t>1200000&lt;</t>
    <phoneticPr fontId="3"/>
  </si>
  <si>
    <t>配偶者（老人）</t>
    <rPh sb="0" eb="3">
      <t>ハイグウシャ</t>
    </rPh>
    <rPh sb="4" eb="6">
      <t>ロウジン</t>
    </rPh>
    <phoneticPr fontId="3"/>
  </si>
  <si>
    <t>判定額合計</t>
    <rPh sb="0" eb="2">
      <t>ハンテイ</t>
    </rPh>
    <rPh sb="2" eb="3">
      <t>ガク</t>
    </rPh>
    <rPh sb="3" eb="5">
      <t>ゴウケイ</t>
    </rPh>
    <phoneticPr fontId="3"/>
  </si>
  <si>
    <t>授業料補助額</t>
    <rPh sb="0" eb="3">
      <t>ジュギョウリョウ</t>
    </rPh>
    <rPh sb="3" eb="5">
      <t>ホジョ</t>
    </rPh>
    <rPh sb="5" eb="6">
      <t>ガク</t>
    </rPh>
    <phoneticPr fontId="3"/>
  </si>
  <si>
    <t>施設費等納付金補助額</t>
    <rPh sb="0" eb="2">
      <t>シセツ</t>
    </rPh>
    <rPh sb="2" eb="3">
      <t>ヒ</t>
    </rPh>
    <rPh sb="3" eb="4">
      <t>トウ</t>
    </rPh>
    <rPh sb="4" eb="7">
      <t>ノウフキン</t>
    </rPh>
    <rPh sb="7" eb="9">
      <t>ホジョ</t>
    </rPh>
    <rPh sb="9" eb="10">
      <t>ガク</t>
    </rPh>
    <phoneticPr fontId="3"/>
  </si>
  <si>
    <t>入学金補助額</t>
    <rPh sb="0" eb="3">
      <t>ニュウガクキン</t>
    </rPh>
    <rPh sb="3" eb="5">
      <t>ホジョ</t>
    </rPh>
    <rPh sb="5" eb="6">
      <t>ガク</t>
    </rPh>
    <phoneticPr fontId="3"/>
  </si>
  <si>
    <t>父母負担</t>
    <rPh sb="0" eb="2">
      <t>フボ</t>
    </rPh>
    <rPh sb="2" eb="4">
      <t>フタン</t>
    </rPh>
    <phoneticPr fontId="3"/>
  </si>
  <si>
    <t>施設費</t>
    <rPh sb="0" eb="2">
      <t>シセツ</t>
    </rPh>
    <rPh sb="2" eb="3">
      <t>ヒ</t>
    </rPh>
    <phoneticPr fontId="3"/>
  </si>
  <si>
    <t>入学金</t>
    <rPh sb="0" eb="3">
      <t>ニュウガクキン</t>
    </rPh>
    <phoneticPr fontId="3"/>
  </si>
  <si>
    <r>
      <t xml:space="preserve">社会保険料等の金額
</t>
    </r>
    <r>
      <rPr>
        <sz val="8"/>
        <rFont val="メイリオ"/>
        <family val="3"/>
        <charset val="128"/>
      </rPr>
      <t>（小規模企業共済等掛金を含む）</t>
    </r>
    <rPh sb="0" eb="2">
      <t>シャカイ</t>
    </rPh>
    <rPh sb="2" eb="5">
      <t>ホケンリョウ</t>
    </rPh>
    <rPh sb="5" eb="6">
      <t>トウ</t>
    </rPh>
    <rPh sb="7" eb="9">
      <t>キンガク</t>
    </rPh>
    <rPh sb="11" eb="18">
      <t>ショウキボキギョウキョウサイ</t>
    </rPh>
    <rPh sb="18" eb="19">
      <t>トウ</t>
    </rPh>
    <rPh sb="19" eb="21">
      <t>カケキン</t>
    </rPh>
    <rPh sb="22" eb="23">
      <t>フク</t>
    </rPh>
    <phoneticPr fontId="3"/>
  </si>
  <si>
    <t>市民税</t>
    <rPh sb="0" eb="3">
      <t>シミンゼイ</t>
    </rPh>
    <phoneticPr fontId="3"/>
  </si>
  <si>
    <t>所得割</t>
    <rPh sb="0" eb="2">
      <t>ショトク</t>
    </rPh>
    <rPh sb="2" eb="3">
      <t>ワリ</t>
    </rPh>
    <phoneticPr fontId="3"/>
  </si>
  <si>
    <t>均等割</t>
    <rPh sb="0" eb="3">
      <t>キントウワ</t>
    </rPh>
    <phoneticPr fontId="3"/>
  </si>
  <si>
    <t>県民税</t>
    <rPh sb="0" eb="3">
      <t>ケンミンゼイ</t>
    </rPh>
    <phoneticPr fontId="3"/>
  </si>
  <si>
    <t>配偶者控除</t>
    <rPh sb="0" eb="3">
      <t>ハイグウシャ</t>
    </rPh>
    <rPh sb="3" eb="5">
      <t>コウジョ</t>
    </rPh>
    <phoneticPr fontId="3"/>
  </si>
  <si>
    <t>扶養控除</t>
    <rPh sb="0" eb="2">
      <t>フヨウ</t>
    </rPh>
    <rPh sb="2" eb="4">
      <t>コウジョ</t>
    </rPh>
    <phoneticPr fontId="3"/>
  </si>
  <si>
    <t>基礎控除</t>
    <rPh sb="0" eb="2">
      <t>キソ</t>
    </rPh>
    <rPh sb="2" eb="4">
      <t>コウジョ</t>
    </rPh>
    <phoneticPr fontId="3"/>
  </si>
  <si>
    <t>年税額</t>
    <rPh sb="0" eb="3">
      <t>ネンゼイガク</t>
    </rPh>
    <phoneticPr fontId="3"/>
  </si>
  <si>
    <t>令和２年度課税証明書</t>
    <rPh sb="0" eb="2">
      <t>レイワ</t>
    </rPh>
    <rPh sb="3" eb="5">
      <t>ネンド</t>
    </rPh>
    <rPh sb="5" eb="7">
      <t>カゼイ</t>
    </rPh>
    <rPh sb="7" eb="9">
      <t>ショウメイ</t>
    </rPh>
    <rPh sb="9" eb="10">
      <t>ショ</t>
    </rPh>
    <phoneticPr fontId="3"/>
  </si>
  <si>
    <t>賦課期日現在の</t>
    <rPh sb="0" eb="2">
      <t>フカ</t>
    </rPh>
    <rPh sb="2" eb="4">
      <t>キジツ</t>
    </rPh>
    <rPh sb="4" eb="6">
      <t>ゲンザイ</t>
    </rPh>
    <phoneticPr fontId="3"/>
  </si>
  <si>
    <t>住所及び氏名</t>
    <rPh sb="0" eb="2">
      <t>ジュウショ</t>
    </rPh>
    <rPh sb="2" eb="3">
      <t>オヨ</t>
    </rPh>
    <rPh sb="4" eb="6">
      <t>シメイ</t>
    </rPh>
    <phoneticPr fontId="3"/>
  </si>
  <si>
    <t>令和元年分の所得の内容</t>
    <rPh sb="0" eb="2">
      <t>レイワ</t>
    </rPh>
    <rPh sb="2" eb="4">
      <t>ガンネン</t>
    </rPh>
    <rPh sb="4" eb="5">
      <t>ブン</t>
    </rPh>
    <rPh sb="6" eb="8">
      <t>ショトク</t>
    </rPh>
    <rPh sb="9" eb="11">
      <t>ナイヨウ</t>
    </rPh>
    <phoneticPr fontId="3"/>
  </si>
  <si>
    <t>所得控除の内容</t>
    <rPh sb="0" eb="2">
      <t>ショトク</t>
    </rPh>
    <rPh sb="2" eb="4">
      <t>コウジョ</t>
    </rPh>
    <rPh sb="5" eb="7">
      <t>ナイヨウ</t>
    </rPh>
    <phoneticPr fontId="3"/>
  </si>
  <si>
    <t>令和２年度市・県民税</t>
    <rPh sb="0" eb="2">
      <t>レイワ</t>
    </rPh>
    <rPh sb="3" eb="5">
      <t>ネンド</t>
    </rPh>
    <rPh sb="4" eb="5">
      <t>ド</t>
    </rPh>
    <rPh sb="5" eb="6">
      <t>シ</t>
    </rPh>
    <rPh sb="7" eb="10">
      <t>ケンミンゼイ</t>
    </rPh>
    <phoneticPr fontId="3"/>
  </si>
  <si>
    <t>給与収入</t>
    <rPh sb="0" eb="2">
      <t>キュウヨ</t>
    </rPh>
    <rPh sb="2" eb="4">
      <t>シュウニュウ</t>
    </rPh>
    <phoneticPr fontId="3"/>
  </si>
  <si>
    <t>社会保険料控除</t>
    <rPh sb="0" eb="2">
      <t>シャカイ</t>
    </rPh>
    <rPh sb="2" eb="5">
      <t>ホケンリョウ</t>
    </rPh>
    <rPh sb="5" eb="7">
      <t>コウジョ</t>
    </rPh>
    <phoneticPr fontId="3"/>
  </si>
  <si>
    <t>公的年金等収入</t>
    <rPh sb="0" eb="2">
      <t>コウテキ</t>
    </rPh>
    <rPh sb="2" eb="4">
      <t>ネンキン</t>
    </rPh>
    <rPh sb="4" eb="5">
      <t>トウ</t>
    </rPh>
    <rPh sb="5" eb="7">
      <t>シュウニュウ</t>
    </rPh>
    <phoneticPr fontId="3"/>
  </si>
  <si>
    <t>生命保険料控除</t>
    <rPh sb="0" eb="2">
      <t>セイメイ</t>
    </rPh>
    <rPh sb="2" eb="4">
      <t>ホケン</t>
    </rPh>
    <rPh sb="4" eb="5">
      <t>リョウ</t>
    </rPh>
    <rPh sb="5" eb="7">
      <t>コウジョ</t>
    </rPh>
    <phoneticPr fontId="3"/>
  </si>
  <si>
    <t>所得の種類</t>
    <rPh sb="0" eb="2">
      <t>ショトク</t>
    </rPh>
    <rPh sb="3" eb="5">
      <t>シュルイ</t>
    </rPh>
    <phoneticPr fontId="3"/>
  </si>
  <si>
    <t>給与所得</t>
    <rPh sb="0" eb="2">
      <t>キュウヨ</t>
    </rPh>
    <rPh sb="2" eb="4">
      <t>ショトク</t>
    </rPh>
    <phoneticPr fontId="3"/>
  </si>
  <si>
    <t>合計</t>
    <rPh sb="0" eb="2">
      <t>ゴウケイ</t>
    </rPh>
    <phoneticPr fontId="3"/>
  </si>
  <si>
    <t>（以下余白）</t>
    <rPh sb="1" eb="3">
      <t>イカ</t>
    </rPh>
    <rPh sb="3" eb="5">
      <t>ヨハク</t>
    </rPh>
    <phoneticPr fontId="3"/>
  </si>
  <si>
    <t>配偶者特別控除</t>
    <rPh sb="0" eb="3">
      <t>ハイグウシャ</t>
    </rPh>
    <rPh sb="3" eb="5">
      <t>トクベツ</t>
    </rPh>
    <rPh sb="5" eb="7">
      <t>コウジョ</t>
    </rPh>
    <phoneticPr fontId="3"/>
  </si>
  <si>
    <t>令和２年度課税標準額</t>
    <rPh sb="0" eb="2">
      <t>レイワ</t>
    </rPh>
    <rPh sb="3" eb="5">
      <t>ネンド</t>
    </rPh>
    <rPh sb="5" eb="7">
      <t>カゼイ</t>
    </rPh>
    <rPh sb="7" eb="9">
      <t>ヒョウジュン</t>
    </rPh>
    <rPh sb="9" eb="10">
      <t>ガク</t>
    </rPh>
    <phoneticPr fontId="3"/>
  </si>
  <si>
    <t>総所得分</t>
    <rPh sb="0" eb="3">
      <t>ソウショトク</t>
    </rPh>
    <rPh sb="3" eb="4">
      <t>ブン</t>
    </rPh>
    <phoneticPr fontId="3"/>
  </si>
  <si>
    <t>分離課税分</t>
    <rPh sb="0" eb="2">
      <t>ブンリ</t>
    </rPh>
    <rPh sb="2" eb="4">
      <t>カゼイ</t>
    </rPh>
    <rPh sb="4" eb="5">
      <t>ブン</t>
    </rPh>
    <phoneticPr fontId="3"/>
  </si>
  <si>
    <t>扶養等
の内訳</t>
    <rPh sb="0" eb="2">
      <t>フヨウ</t>
    </rPh>
    <rPh sb="2" eb="3">
      <t>トウ</t>
    </rPh>
    <rPh sb="5" eb="7">
      <t>ウチワケ</t>
    </rPh>
    <phoneticPr fontId="3"/>
  </si>
  <si>
    <t>普通障害</t>
    <rPh sb="0" eb="2">
      <t>フツウ</t>
    </rPh>
    <rPh sb="2" eb="4">
      <t>ショウガイ</t>
    </rPh>
    <phoneticPr fontId="3"/>
  </si>
  <si>
    <t>所得控除の合計</t>
    <rPh sb="0" eb="2">
      <t>ショトク</t>
    </rPh>
    <rPh sb="2" eb="4">
      <t>コウジョ</t>
    </rPh>
    <rPh sb="5" eb="7">
      <t>ゴウケイ</t>
    </rPh>
    <phoneticPr fontId="3"/>
  </si>
  <si>
    <t>所得の合計</t>
    <rPh sb="0" eb="2">
      <t>ショトク</t>
    </rPh>
    <rPh sb="3" eb="5">
      <t>ゴウケイ</t>
    </rPh>
    <phoneticPr fontId="3"/>
  </si>
  <si>
    <t>繰越控除</t>
    <rPh sb="0" eb="2">
      <t>クリコシ</t>
    </rPh>
    <rPh sb="2" eb="4">
      <t>コウジョ</t>
    </rPh>
    <phoneticPr fontId="3"/>
  </si>
  <si>
    <t>年少</t>
    <rPh sb="0" eb="2">
      <t>ネンショウ</t>
    </rPh>
    <phoneticPr fontId="3"/>
  </si>
  <si>
    <t>備考</t>
    <rPh sb="0" eb="2">
      <t>ビコウ</t>
    </rPh>
    <phoneticPr fontId="3"/>
  </si>
  <si>
    <t>無</t>
    <rPh sb="0" eb="1">
      <t>ナシ</t>
    </rPh>
    <phoneticPr fontId="3"/>
  </si>
  <si>
    <t>**********</t>
    <phoneticPr fontId="3"/>
  </si>
  <si>
    <t>**********</t>
    <phoneticPr fontId="3"/>
  </si>
  <si>
    <t>******</t>
    <phoneticPr fontId="3"/>
  </si>
  <si>
    <t>　16歳未満</t>
    <rPh sb="3" eb="6">
      <t>サイミマン</t>
    </rPh>
    <phoneticPr fontId="3"/>
  </si>
  <si>
    <t>　19歳未満</t>
    <rPh sb="3" eb="6">
      <t>サイミマン</t>
    </rPh>
    <phoneticPr fontId="3"/>
  </si>
  <si>
    <t>　16歳以上</t>
    <rPh sb="3" eb="6">
      <t>サイイジョウ</t>
    </rPh>
    <phoneticPr fontId="3"/>
  </si>
  <si>
    <t>～16↓</t>
    <phoneticPr fontId="3"/>
  </si>
  <si>
    <t>学年：</t>
    <rPh sb="0" eb="2">
      <t>ガクネン</t>
    </rPh>
    <phoneticPr fontId="3"/>
  </si>
  <si>
    <t>A</t>
    <phoneticPr fontId="3"/>
  </si>
  <si>
    <t>↑実際の扶養親族数と異なる</t>
    <rPh sb="1" eb="3">
      <t>ジッサイ</t>
    </rPh>
    <rPh sb="4" eb="6">
      <t>フヨウ</t>
    </rPh>
    <rPh sb="6" eb="8">
      <t>シンゾク</t>
    </rPh>
    <rPh sb="8" eb="9">
      <t>スウ</t>
    </rPh>
    <rPh sb="10" eb="11">
      <t>コト</t>
    </rPh>
    <phoneticPr fontId="3"/>
  </si>
  <si>
    <t>場合は修正してください</t>
    <rPh sb="0" eb="2">
      <t>バアイ</t>
    </rPh>
    <rPh sb="3" eb="5">
      <t>シュウセイ</t>
    </rPh>
    <phoneticPr fontId="3"/>
  </si>
  <si>
    <t>障がい者の数（本人除く）</t>
    <rPh sb="0" eb="1">
      <t>ショウ</t>
    </rPh>
    <rPh sb="3" eb="4">
      <t>シャ</t>
    </rPh>
    <rPh sb="5" eb="6">
      <t>カズ</t>
    </rPh>
    <rPh sb="7" eb="9">
      <t>ホンニン</t>
    </rPh>
    <rPh sb="9" eb="10">
      <t>ノゾ</t>
    </rPh>
    <phoneticPr fontId="3"/>
  </si>
  <si>
    <t>480000&lt;</t>
    <phoneticPr fontId="3"/>
  </si>
  <si>
    <t>500000&lt;=</t>
    <phoneticPr fontId="3"/>
  </si>
  <si>
    <t>550000&lt;=</t>
    <phoneticPr fontId="3"/>
  </si>
  <si>
    <t>ひとり親（父）</t>
    <rPh sb="3" eb="4">
      <t>オヤ</t>
    </rPh>
    <rPh sb="5" eb="6">
      <t>チチ</t>
    </rPh>
    <phoneticPr fontId="3"/>
  </si>
  <si>
    <t>ひとり親（母）</t>
    <rPh sb="3" eb="4">
      <t>オヤ</t>
    </rPh>
    <rPh sb="5" eb="6">
      <t>ハハ</t>
    </rPh>
    <phoneticPr fontId="3"/>
  </si>
  <si>
    <t>父</t>
    <rPh sb="0" eb="1">
      <t>チチ</t>
    </rPh>
    <phoneticPr fontId="3"/>
  </si>
  <si>
    <t>母</t>
    <rPh sb="0" eb="1">
      <t>ハハ</t>
    </rPh>
    <phoneticPr fontId="3"/>
  </si>
  <si>
    <t>同居老親</t>
    <rPh sb="0" eb="2">
      <t>ドウキョ</t>
    </rPh>
    <rPh sb="2" eb="4">
      <t>ロウシン</t>
    </rPh>
    <phoneticPr fontId="3"/>
  </si>
  <si>
    <t>障がい</t>
    <rPh sb="0" eb="1">
      <t>ショウ</t>
    </rPh>
    <phoneticPr fontId="3"/>
  </si>
  <si>
    <t>その他障がい</t>
    <rPh sb="2" eb="3">
      <t>タ</t>
    </rPh>
    <rPh sb="3" eb="4">
      <t>ショウ</t>
    </rPh>
    <phoneticPr fontId="3"/>
  </si>
  <si>
    <t>特別障がい（同居）</t>
    <rPh sb="0" eb="2">
      <t>トクベツ</t>
    </rPh>
    <rPh sb="2" eb="3">
      <t>ショウ</t>
    </rPh>
    <rPh sb="6" eb="8">
      <t>ドウキョ</t>
    </rPh>
    <phoneticPr fontId="3"/>
  </si>
  <si>
    <t>1330000&lt;</t>
    <phoneticPr fontId="3"/>
  </si>
  <si>
    <t>1250000&lt;</t>
    <phoneticPr fontId="3"/>
  </si>
  <si>
    <t>1300000&lt;</t>
    <phoneticPr fontId="3"/>
  </si>
  <si>
    <t>＜本人該当区分＞</t>
    <phoneticPr fontId="3"/>
  </si>
  <si>
    <t>一般寡婦</t>
    <rPh sb="0" eb="2">
      <t>イッパン</t>
    </rPh>
    <rPh sb="2" eb="4">
      <t>カフ</t>
    </rPh>
    <phoneticPr fontId="3"/>
  </si>
  <si>
    <t>　</t>
    <phoneticPr fontId="3"/>
  </si>
  <si>
    <t>早生まれ　：</t>
    <phoneticPr fontId="3"/>
  </si>
  <si>
    <t>扶養親族数（早生まれ考慮）</t>
    <rPh sb="0" eb="2">
      <t>フヨウ</t>
    </rPh>
    <rPh sb="2" eb="4">
      <t>シンゾク</t>
    </rPh>
    <rPh sb="4" eb="5">
      <t>スウ</t>
    </rPh>
    <rPh sb="6" eb="8">
      <t>ハヤウ</t>
    </rPh>
    <rPh sb="10" eb="12">
      <t>コウリョ</t>
    </rPh>
    <phoneticPr fontId="3"/>
  </si>
  <si>
    <t>基準Aマトリクス</t>
    <rPh sb="0" eb="2">
      <t>キジュン</t>
    </rPh>
    <phoneticPr fontId="3"/>
  </si>
  <si>
    <t>保護者1</t>
    <rPh sb="0" eb="3">
      <t>ホゴシャ</t>
    </rPh>
    <phoneticPr fontId="3"/>
  </si>
  <si>
    <t>保護者2</t>
    <rPh sb="0" eb="3">
      <t>ホゴシャ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</si>
  <si>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</si>
  <si>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課税標準額</t>
    <rPh sb="0" eb="5">
      <t>カゼイヒョウジュンガク</t>
    </rPh>
    <phoneticPr fontId="3"/>
  </si>
  <si>
    <t>　各保護者について、該当するすべての項目を入力してください。</t>
    <rPh sb="1" eb="2">
      <t>カク</t>
    </rPh>
    <rPh sb="2" eb="5">
      <t>ホゴシャ</t>
    </rPh>
    <rPh sb="10" eb="12">
      <t>ガイトウ</t>
    </rPh>
    <rPh sb="18" eb="20">
      <t>コウモク</t>
    </rPh>
    <rPh sb="21" eb="23">
      <t>ニュウリョク</t>
    </rPh>
    <phoneticPr fontId="3"/>
  </si>
  <si>
    <r>
      <t>　</t>
    </r>
    <r>
      <rPr>
        <b/>
        <u/>
        <sz val="10"/>
        <color rgb="FFFF0000"/>
        <rFont val="メイリオ"/>
        <family val="3"/>
        <charset val="128"/>
      </rPr>
      <t>※　この試算表は、標準的な給与所得者の住民税の計算方法による試算ですので、実際の住民税の課税額等と異なる場合があります。</t>
    </r>
    <rPh sb="5" eb="8">
      <t>シサンヒョウ</t>
    </rPh>
    <rPh sb="10" eb="12">
      <t>ヒョウジュン</t>
    </rPh>
    <rPh sb="12" eb="13">
      <t>テキ</t>
    </rPh>
    <rPh sb="14" eb="16">
      <t>キュウヨ</t>
    </rPh>
    <rPh sb="16" eb="18">
      <t>ショトク</t>
    </rPh>
    <rPh sb="18" eb="19">
      <t>シャ</t>
    </rPh>
    <rPh sb="20" eb="23">
      <t>ジュウミンゼイ</t>
    </rPh>
    <rPh sb="24" eb="26">
      <t>ケイサン</t>
    </rPh>
    <rPh sb="26" eb="28">
      <t>ホウホウ</t>
    </rPh>
    <rPh sb="31" eb="33">
      <t>シサン</t>
    </rPh>
    <rPh sb="38" eb="40">
      <t>ジッサイ</t>
    </rPh>
    <rPh sb="41" eb="44">
      <t>ジュウミンゼイ</t>
    </rPh>
    <rPh sb="45" eb="47">
      <t>カゼイ</t>
    </rPh>
    <rPh sb="47" eb="48">
      <t>ガク</t>
    </rPh>
    <rPh sb="48" eb="49">
      <t>トウ</t>
    </rPh>
    <rPh sb="50" eb="51">
      <t>コト</t>
    </rPh>
    <rPh sb="53" eb="55">
      <t>バアイ</t>
    </rPh>
    <phoneticPr fontId="3"/>
  </si>
  <si>
    <t>　　　また、この試算表で実際の補助額の審査を行うものではありません。</t>
    <rPh sb="8" eb="11">
      <t>シサンヒョウ</t>
    </rPh>
    <rPh sb="12" eb="14">
      <t>ジッサイ</t>
    </rPh>
    <rPh sb="15" eb="17">
      <t>ホジョ</t>
    </rPh>
    <rPh sb="17" eb="18">
      <t>ガク</t>
    </rPh>
    <rPh sb="19" eb="21">
      <t>シンサ</t>
    </rPh>
    <rPh sb="22" eb="23">
      <t>オコナ</t>
    </rPh>
    <phoneticPr fontId="3"/>
  </si>
  <si>
    <t>給与の収入金額</t>
    <rPh sb="0" eb="2">
      <t>キュウヨ</t>
    </rPh>
    <rPh sb="3" eb="5">
      <t>シュウニュウ</t>
    </rPh>
    <rPh sb="5" eb="7">
      <t>キンガク</t>
    </rPh>
    <phoneticPr fontId="3"/>
  </si>
  <si>
    <t>本人が障がい者</t>
    <rPh sb="0" eb="2">
      <t>ホンニン</t>
    </rPh>
    <rPh sb="3" eb="4">
      <t>ショウ</t>
    </rPh>
    <rPh sb="6" eb="7">
      <t>シャ</t>
    </rPh>
    <phoneticPr fontId="3"/>
  </si>
  <si>
    <t>＜計算結果＞</t>
    <rPh sb="1" eb="3">
      <t>ケイサン</t>
    </rPh>
    <rPh sb="3" eb="5">
      <t>ケッカ</t>
    </rPh>
    <phoneticPr fontId="3"/>
  </si>
  <si>
    <t>(市町村民税の)課税標準額</t>
    <rPh sb="1" eb="4">
      <t>シチョウソン</t>
    </rPh>
    <rPh sb="4" eb="5">
      <t>ミン</t>
    </rPh>
    <rPh sb="5" eb="6">
      <t>ゼイ</t>
    </rPh>
    <rPh sb="8" eb="10">
      <t>カゼイ</t>
    </rPh>
    <rPh sb="10" eb="12">
      <t>ヒョウジュン</t>
    </rPh>
    <rPh sb="12" eb="13">
      <t>ガク</t>
    </rPh>
    <phoneticPr fontId="3"/>
  </si>
  <si>
    <t>(市町村民税の)調整控除額</t>
    <rPh sb="1" eb="4">
      <t>シチョウソン</t>
    </rPh>
    <rPh sb="4" eb="5">
      <t>ミン</t>
    </rPh>
    <rPh sb="5" eb="6">
      <t>ゼイ</t>
    </rPh>
    <rPh sb="8" eb="10">
      <t>チョウセイ</t>
    </rPh>
    <rPh sb="10" eb="12">
      <t>コウジョ</t>
    </rPh>
    <rPh sb="12" eb="13">
      <t>ガク</t>
    </rPh>
    <phoneticPr fontId="3"/>
  </si>
  <si>
    <t>※課税証明書をお持ちの方で、証明書に表示された金額と</t>
    <phoneticPr fontId="3"/>
  </si>
  <si>
    <t>　上記計算結果が異なっている場合は、計算結果の数字を直接修正してください</t>
    <rPh sb="1" eb="3">
      <t>ジョウキ</t>
    </rPh>
    <rPh sb="3" eb="5">
      <t>ケイサン</t>
    </rPh>
    <rPh sb="5" eb="7">
      <t>ケッカ</t>
    </rPh>
    <rPh sb="8" eb="9">
      <t>コト</t>
    </rPh>
    <rPh sb="14" eb="16">
      <t>バアイ</t>
    </rPh>
    <rPh sb="18" eb="20">
      <t>ケイサン</t>
    </rPh>
    <rPh sb="20" eb="22">
      <t>ケッカ</t>
    </rPh>
    <rPh sb="23" eb="25">
      <t>スウジ</t>
    </rPh>
    <rPh sb="26" eb="28">
      <t>チョクセツ</t>
    </rPh>
    <rPh sb="28" eb="30">
      <t>シュウセイ</t>
    </rPh>
    <phoneticPr fontId="3"/>
  </si>
  <si>
    <t>※実際の補助額は、学校に納付する金額が上限になります</t>
    <rPh sb="1" eb="3">
      <t>ジッサイ</t>
    </rPh>
    <rPh sb="4" eb="6">
      <t>ホジョ</t>
    </rPh>
    <rPh sb="6" eb="7">
      <t>ガク</t>
    </rPh>
    <rPh sb="9" eb="11">
      <t>ガッコウ</t>
    </rPh>
    <rPh sb="12" eb="14">
      <t>ノウフ</t>
    </rPh>
    <rPh sb="16" eb="18">
      <t>キンガク</t>
    </rPh>
    <rPh sb="19" eb="21">
      <t>ジョウゲン</t>
    </rPh>
    <phoneticPr fontId="3"/>
  </si>
  <si>
    <t>　の場合、〇を選択してください</t>
    <phoneticPr fontId="3"/>
  </si>
  <si>
    <t>▼本人情報▼</t>
    <rPh sb="1" eb="3">
      <t>ホンニン</t>
    </rPh>
    <rPh sb="3" eb="5">
      <t>ジョウホウ</t>
    </rPh>
    <phoneticPr fontId="3"/>
  </si>
  <si>
    <t>▼扶養親族数▼</t>
    <rPh sb="1" eb="3">
      <t>フヨウ</t>
    </rPh>
    <rPh sb="3" eb="5">
      <t>シンゾク</t>
    </rPh>
    <rPh sb="5" eb="6">
      <t>スウ</t>
    </rPh>
    <phoneticPr fontId="3"/>
  </si>
  <si>
    <t>所得区分</t>
    <rPh sb="0" eb="2">
      <t>ショトク</t>
    </rPh>
    <rPh sb="2" eb="4">
      <t>クブン</t>
    </rPh>
    <phoneticPr fontId="3"/>
  </si>
  <si>
    <t>▼判定額▼</t>
    <rPh sb="1" eb="3">
      <t>ハンテイ</t>
    </rPh>
    <rPh sb="3" eb="4">
      <t>ガク</t>
    </rPh>
    <phoneticPr fontId="3"/>
  </si>
  <si>
    <t>▼所得区分▼</t>
    <rPh sb="1" eb="3">
      <t>ショトク</t>
    </rPh>
    <rPh sb="3" eb="5">
      <t>クブン</t>
    </rPh>
    <phoneticPr fontId="3"/>
  </si>
  <si>
    <t>控除対象配偶者の有無等</t>
    <rPh sb="0" eb="2">
      <t>コウジョ</t>
    </rPh>
    <rPh sb="2" eb="4">
      <t>タイショウ</t>
    </rPh>
    <rPh sb="4" eb="7">
      <t>ハイグウシャ</t>
    </rPh>
    <rPh sb="8" eb="10">
      <t>ウム</t>
    </rPh>
    <rPh sb="10" eb="11">
      <t>トウ</t>
    </rPh>
    <phoneticPr fontId="3"/>
  </si>
  <si>
    <t>ひとり親</t>
    <rPh sb="3" eb="4">
      <t>オヤ</t>
    </rPh>
    <phoneticPr fontId="3"/>
  </si>
  <si>
    <t>＜所得区分＞</t>
    <rPh sb="1" eb="3">
      <t>ショトク</t>
    </rPh>
    <rPh sb="3" eb="5">
      <t>クブン</t>
    </rPh>
    <phoneticPr fontId="3"/>
  </si>
  <si>
    <t>区分</t>
    <rPh sb="0" eb="2">
      <t>クブン</t>
    </rPh>
    <phoneticPr fontId="3"/>
  </si>
  <si>
    <t>授業料</t>
    <rPh sb="0" eb="3">
      <t>ジュギョウリョウ</t>
    </rPh>
    <phoneticPr fontId="3"/>
  </si>
  <si>
    <t>施設費</t>
    <rPh sb="0" eb="3">
      <t>シセツヒ</t>
    </rPh>
    <phoneticPr fontId="3"/>
  </si>
  <si>
    <t>就学支援金</t>
    <rPh sb="0" eb="5">
      <t>シュウガクシエンキン</t>
    </rPh>
    <phoneticPr fontId="3"/>
  </si>
  <si>
    <t>&lt;父母負担補助額＞</t>
    <rPh sb="1" eb="3">
      <t>フボ</t>
    </rPh>
    <rPh sb="3" eb="5">
      <t>フタン</t>
    </rPh>
    <rPh sb="5" eb="7">
      <t>ホジョ</t>
    </rPh>
    <rPh sb="7" eb="8">
      <t>ガク</t>
    </rPh>
    <phoneticPr fontId="3"/>
  </si>
  <si>
    <t>＜就学支援金補助額＞</t>
    <rPh sb="1" eb="6">
      <t>シュウガクシエンキン</t>
    </rPh>
    <rPh sb="6" eb="8">
      <t>ホジョ</t>
    </rPh>
    <rPh sb="8" eb="9">
      <t>ガク</t>
    </rPh>
    <phoneticPr fontId="3"/>
  </si>
  <si>
    <t>基準A</t>
    <rPh sb="0" eb="2">
      <t>キジュン</t>
    </rPh>
    <phoneticPr fontId="3"/>
  </si>
  <si>
    <t>加算あり</t>
    <rPh sb="0" eb="2">
      <t>カサン</t>
    </rPh>
    <phoneticPr fontId="3"/>
  </si>
  <si>
    <t>基準B</t>
    <rPh sb="0" eb="2">
      <t>キジュン</t>
    </rPh>
    <phoneticPr fontId="3"/>
  </si>
  <si>
    <t>加算なし</t>
    <rPh sb="0" eb="2">
      <t>カサン</t>
    </rPh>
    <phoneticPr fontId="3"/>
  </si>
  <si>
    <t>基準C</t>
    <rPh sb="0" eb="2">
      <t>キジュン</t>
    </rPh>
    <phoneticPr fontId="3"/>
  </si>
  <si>
    <t>対象外</t>
    <rPh sb="0" eb="3">
      <t>タイショウガイ</t>
    </rPh>
    <phoneticPr fontId="3"/>
  </si>
  <si>
    <t>基準D</t>
    <rPh sb="0" eb="2">
      <t>キジュン</t>
    </rPh>
    <phoneticPr fontId="3"/>
  </si>
  <si>
    <t>＜判定額計算＞</t>
    <rPh sb="1" eb="3">
      <t>ハンテイ</t>
    </rPh>
    <rPh sb="3" eb="4">
      <t>ガク</t>
    </rPh>
    <rPh sb="4" eb="6">
      <t>ケイサン</t>
    </rPh>
    <phoneticPr fontId="3"/>
  </si>
  <si>
    <t>早生まれ調整後課税標準額</t>
    <rPh sb="0" eb="2">
      <t>ハヤウ</t>
    </rPh>
    <rPh sb="4" eb="6">
      <t>チョウセイ</t>
    </rPh>
    <rPh sb="6" eb="7">
      <t>ゴ</t>
    </rPh>
    <rPh sb="7" eb="12">
      <t>カゼイヒョウジュンガク</t>
    </rPh>
    <phoneticPr fontId="3"/>
  </si>
  <si>
    <t>早生まれ控除対象者↑</t>
    <rPh sb="0" eb="2">
      <t>ハヤウ</t>
    </rPh>
    <rPh sb="4" eb="6">
      <t>コウジョ</t>
    </rPh>
    <rPh sb="6" eb="8">
      <t>タイショウ</t>
    </rPh>
    <rPh sb="8" eb="9">
      <t>シャ</t>
    </rPh>
    <phoneticPr fontId="3"/>
  </si>
  <si>
    <t>＜扶養親族数（早生まれ考慮後）＞</t>
    <rPh sb="1" eb="3">
      <t>フヨウ</t>
    </rPh>
    <rPh sb="3" eb="5">
      <t>シンゾク</t>
    </rPh>
    <rPh sb="5" eb="6">
      <t>スウ</t>
    </rPh>
    <rPh sb="7" eb="9">
      <t>ハヤウ</t>
    </rPh>
    <rPh sb="11" eb="13">
      <t>コウリョ</t>
    </rPh>
    <rPh sb="13" eb="14">
      <t>アト</t>
    </rPh>
    <phoneticPr fontId="3"/>
  </si>
  <si>
    <t>＜基準Aマトリクス＞</t>
    <rPh sb="1" eb="3">
      <t>キジュン</t>
    </rPh>
    <phoneticPr fontId="3"/>
  </si>
  <si>
    <t>基準Aマトリクス対応額</t>
    <rPh sb="0" eb="2">
      <t>キジュン</t>
    </rPh>
    <rPh sb="8" eb="10">
      <t>タイオウ</t>
    </rPh>
    <rPh sb="10" eb="11">
      <t>ガク</t>
    </rPh>
    <phoneticPr fontId="3"/>
  </si>
  <si>
    <t>16～19→</t>
    <phoneticPr fontId="3"/>
  </si>
  <si>
    <t>調整控除額（政令市調整後）</t>
    <rPh sb="0" eb="2">
      <t>チョウセイ</t>
    </rPh>
    <rPh sb="2" eb="4">
      <t>コウジョ</t>
    </rPh>
    <rPh sb="4" eb="5">
      <t>ガク</t>
    </rPh>
    <rPh sb="6" eb="9">
      <t>セイレイシ</t>
    </rPh>
    <rPh sb="9" eb="11">
      <t>チョウセイ</t>
    </rPh>
    <rPh sb="11" eb="12">
      <t>ゴ</t>
    </rPh>
    <phoneticPr fontId="3"/>
  </si>
  <si>
    <t>▼補助額（試算）▼</t>
    <rPh sb="1" eb="3">
      <t>ホジョ</t>
    </rPh>
    <rPh sb="3" eb="4">
      <t>ガク</t>
    </rPh>
    <rPh sb="5" eb="7">
      <t>シサン</t>
    </rPh>
    <phoneticPr fontId="3"/>
  </si>
  <si>
    <t>生命保険料の金額</t>
    <rPh sb="0" eb="2">
      <t>セイメイ</t>
    </rPh>
    <rPh sb="2" eb="4">
      <t>ホケン</t>
    </rPh>
    <rPh sb="4" eb="5">
      <t>リョウ</t>
    </rPh>
    <rPh sb="6" eb="8">
      <t>キンガク</t>
    </rPh>
    <phoneticPr fontId="3"/>
  </si>
  <si>
    <t>新個人年金</t>
    <rPh sb="0" eb="1">
      <t>シン</t>
    </rPh>
    <rPh sb="1" eb="3">
      <t>コジン</t>
    </rPh>
    <rPh sb="3" eb="5">
      <t>ネンキン</t>
    </rPh>
    <phoneticPr fontId="3"/>
  </si>
  <si>
    <t>旧個人年金</t>
    <rPh sb="0" eb="1">
      <t>キュウ</t>
    </rPh>
    <rPh sb="1" eb="3">
      <t>コジン</t>
    </rPh>
    <rPh sb="3" eb="5">
      <t>ネンキン</t>
    </rPh>
    <phoneticPr fontId="3"/>
  </si>
  <si>
    <t>(市町村民税の)所得控除合計</t>
    <rPh sb="8" eb="10">
      <t>ショトク</t>
    </rPh>
    <rPh sb="10" eb="12">
      <t>コウジョ</t>
    </rPh>
    <rPh sb="12" eb="14">
      <t>ゴウケイ</t>
    </rPh>
    <phoneticPr fontId="3"/>
  </si>
  <si>
    <t>新生</t>
    <rPh sb="0" eb="2">
      <t>シンセイ</t>
    </rPh>
    <phoneticPr fontId="3"/>
  </si>
  <si>
    <t>旧生</t>
    <rPh sb="0" eb="1">
      <t>キュウ</t>
    </rPh>
    <rPh sb="1" eb="2">
      <t>セイ</t>
    </rPh>
    <phoneticPr fontId="3"/>
  </si>
  <si>
    <t>介護</t>
    <rPh sb="0" eb="2">
      <t>カイゴ</t>
    </rPh>
    <phoneticPr fontId="3"/>
  </si>
  <si>
    <t>令和７年度　父母負担軽減事業　補助額試算表</t>
    <rPh sb="0" eb="2">
      <t>レイワ</t>
    </rPh>
    <rPh sb="3" eb="5">
      <t>ネンド</t>
    </rPh>
    <rPh sb="6" eb="8">
      <t>フボ</t>
    </rPh>
    <rPh sb="8" eb="10">
      <t>フタン</t>
    </rPh>
    <rPh sb="10" eb="12">
      <t>ケイゲン</t>
    </rPh>
    <rPh sb="12" eb="14">
      <t>ジギョウ</t>
    </rPh>
    <rPh sb="15" eb="17">
      <t>ホジョ</t>
    </rPh>
    <rPh sb="17" eb="18">
      <t>ガク</t>
    </rPh>
    <rPh sb="18" eb="20">
      <t>シサン</t>
    </rPh>
    <rPh sb="20" eb="21">
      <t>ヒョウ</t>
    </rPh>
    <phoneticPr fontId="3"/>
  </si>
  <si>
    <r>
      <t>↑</t>
    </r>
    <r>
      <rPr>
        <sz val="10"/>
        <color rgb="FFFF0000"/>
        <rFont val="メイリオ"/>
        <family val="3"/>
        <charset val="128"/>
      </rPr>
      <t>生徒本人</t>
    </r>
    <r>
      <rPr>
        <sz val="10"/>
        <rFont val="メイリオ"/>
        <family val="3"/>
        <charset val="128"/>
      </rPr>
      <t>が早生まれ（※平成21年1月2日～4月1日生まれ）</t>
    </r>
    <phoneticPr fontId="3"/>
  </si>
  <si>
    <t>　うち高校生等臨時支援金</t>
    <rPh sb="3" eb="6">
      <t>コウコウセイ</t>
    </rPh>
    <rPh sb="6" eb="7">
      <t>トウ</t>
    </rPh>
    <rPh sb="7" eb="12">
      <t>リンジシエンキン</t>
    </rPh>
    <phoneticPr fontId="3"/>
  </si>
  <si>
    <t>＜高校生等臨時支援金＞</t>
    <rPh sb="1" eb="5">
      <t>コウコウセイトウ</t>
    </rPh>
    <rPh sb="5" eb="10">
      <t>リンジシエンキン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</si>
</sst>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0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0"/>
      <color theme="0"/>
      <name val="メイリオ"/>
      <family val="2"/>
      <charset val="128"/>
    </font>
    <font>
      <sz val="6"/>
      <name val="メイリオ"/>
      <family val="2"/>
      <charset val="128"/>
    </font>
    <font>
      <sz val="10"/>
      <color theme="0"/>
      <name val="メイリオ"/>
      <family val="3"/>
      <charset val="128"/>
    </font>
    <font>
      <sz val="10"/>
      <name val="メイリオ"/>
      <family val="2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メイリオ"/>
      <family val="3"/>
      <charset val="128"/>
    </font>
    <font>
      <sz val="14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u/>
      <sz val="10"/>
      <color rgb="FFFF0000"/>
      <name val="メイリオ"/>
      <family val="3"/>
      <charset val="128"/>
    </font>
    <font>
      <b/>
      <sz val="10"/>
      <name val="メイリオ"/>
      <family val="3"/>
      <charset val="128"/>
    </font>
    <font>
      <b/>
      <sz val="10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 vertical="center"/>
    </xf>
    <xf numFmtId="0" fontId="8" fillId="0" borderId="1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8" fillId="0" borderId="20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0" fontId="8" fillId="0" borderId="22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 vertical="center"/>
    </xf>
    <xf numFmtId="0" fontId="8" fillId="0" borderId="29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 vertical="center" indent="1"/>
    </xf>
    <xf numFmtId="0" fontId="8" fillId="0" borderId="29" xfId="0" applyFont="1" applyBorder="1" applyAlignment="1">
      <alignment horizontal="distributed" vertical="center"/>
    </xf>
    <xf numFmtId="0" fontId="8" fillId="0" borderId="32" xfId="0" applyFont="1" applyBorder="1" applyAlignment="1">
      <alignment horizontal="distributed" vertical="center" indent="1"/>
    </xf>
    <xf numFmtId="0" fontId="8" fillId="0" borderId="37" xfId="0" applyFont="1" applyBorder="1" applyAlignment="1">
      <alignment horizontal="distributed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distributed" vertical="center" indent="1"/>
    </xf>
    <xf numFmtId="0" fontId="8" fillId="0" borderId="37" xfId="0" applyFont="1" applyBorder="1" applyAlignment="1">
      <alignment horizontal="distributed" vertical="center" indent="1"/>
    </xf>
    <xf numFmtId="0" fontId="8" fillId="0" borderId="38" xfId="0" applyFont="1" applyBorder="1" applyAlignment="1">
      <alignment horizontal="distributed" vertical="center" indent="1"/>
    </xf>
    <xf numFmtId="0" fontId="8" fillId="0" borderId="38" xfId="0" applyFont="1" applyBorder="1" applyAlignment="1">
      <alignment horizontal="distributed" vertical="center"/>
    </xf>
    <xf numFmtId="0" fontId="8" fillId="0" borderId="40" xfId="0" applyFont="1" applyBorder="1" applyAlignment="1">
      <alignment horizontal="distributed" vertical="center"/>
    </xf>
    <xf numFmtId="0" fontId="8" fillId="0" borderId="41" xfId="0" applyFont="1" applyBorder="1" applyAlignment="1">
      <alignment horizontal="distributed" vertical="center"/>
    </xf>
    <xf numFmtId="0" fontId="8" fillId="0" borderId="11" xfId="0" applyFont="1" applyBorder="1" applyAlignment="1">
      <alignment horizontal="distributed" vertical="center" indent="1"/>
    </xf>
    <xf numFmtId="0" fontId="8" fillId="0" borderId="11" xfId="0" applyFont="1" applyBorder="1" applyAlignment="1">
      <alignment horizontal="distributed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distributed" vertical="center"/>
    </xf>
    <xf numFmtId="38" fontId="8" fillId="0" borderId="30" xfId="1" applyFont="1" applyBorder="1" applyAlignment="1">
      <alignment horizontal="distributed" vertical="center"/>
    </xf>
    <xf numFmtId="0" fontId="10" fillId="0" borderId="25" xfId="0" applyFont="1" applyBorder="1" applyAlignment="1">
      <alignment horizontal="distributed" vertical="center"/>
    </xf>
    <xf numFmtId="38" fontId="8" fillId="0" borderId="38" xfId="1" applyFont="1" applyBorder="1" applyAlignment="1">
      <alignment horizontal="distributed" vertical="center" indent="1"/>
    </xf>
    <xf numFmtId="38" fontId="8" fillId="0" borderId="38" xfId="1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38" fontId="6" fillId="0" borderId="0" xfId="1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38" fontId="6" fillId="0" borderId="0" xfId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3" borderId="48" xfId="0" applyFont="1" applyFill="1" applyBorder="1" applyProtection="1">
      <alignment vertical="center"/>
      <protection locked="0"/>
    </xf>
    <xf numFmtId="0" fontId="6" fillId="0" borderId="50" xfId="0" applyFont="1" applyBorder="1" applyProtection="1">
      <alignment vertical="center"/>
      <protection locked="0"/>
    </xf>
    <xf numFmtId="38" fontId="6" fillId="0" borderId="51" xfId="1" applyFont="1" applyFill="1" applyBorder="1" applyProtection="1">
      <alignment vertical="center"/>
      <protection locked="0"/>
    </xf>
    <xf numFmtId="0" fontId="6" fillId="4" borderId="2" xfId="0" applyFont="1" applyFill="1" applyBorder="1" applyProtection="1">
      <alignment vertical="center"/>
      <protection locked="0"/>
    </xf>
    <xf numFmtId="0" fontId="6" fillId="5" borderId="9" xfId="0" applyFont="1" applyFill="1" applyBorder="1" applyProtection="1">
      <alignment vertical="center"/>
      <protection locked="0"/>
    </xf>
    <xf numFmtId="0" fontId="6" fillId="0" borderId="43" xfId="0" applyFont="1" applyBorder="1" applyProtection="1">
      <alignment vertical="center"/>
      <protection locked="0"/>
    </xf>
    <xf numFmtId="38" fontId="15" fillId="0" borderId="44" xfId="1" applyFont="1" applyFill="1" applyBorder="1" applyProtection="1">
      <alignment vertical="center"/>
      <protection locked="0"/>
    </xf>
    <xf numFmtId="38" fontId="6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distributed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38" fontId="15" fillId="0" borderId="54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55" xfId="0" applyFont="1" applyBorder="1">
      <alignment vertical="center"/>
    </xf>
    <xf numFmtId="38" fontId="15" fillId="0" borderId="1" xfId="0" applyNumberFormat="1" applyFont="1" applyBorder="1" applyProtection="1">
      <alignment vertical="center"/>
      <protection locked="0"/>
    </xf>
    <xf numFmtId="38" fontId="15" fillId="3" borderId="49" xfId="1" applyFont="1" applyFill="1" applyBorder="1" applyProtection="1">
      <alignment vertical="center"/>
      <protection locked="0"/>
    </xf>
    <xf numFmtId="38" fontId="15" fillId="4" borderId="51" xfId="1" applyFont="1" applyFill="1" applyBorder="1" applyProtection="1">
      <alignment vertical="center"/>
      <protection locked="0"/>
    </xf>
    <xf numFmtId="38" fontId="15" fillId="5" borderId="53" xfId="1" applyFont="1" applyFill="1" applyBorder="1" applyProtection="1">
      <alignment vertical="center"/>
      <protection locked="0"/>
    </xf>
    <xf numFmtId="0" fontId="15" fillId="4" borderId="50" xfId="0" applyFont="1" applyFill="1" applyBorder="1" applyProtection="1">
      <alignment vertical="center"/>
      <protection locked="0"/>
    </xf>
    <xf numFmtId="0" fontId="15" fillId="3" borderId="47" xfId="0" applyFont="1" applyFill="1" applyBorder="1" applyProtection="1">
      <alignment vertical="center"/>
      <protection locked="0"/>
    </xf>
    <xf numFmtId="0" fontId="15" fillId="5" borderId="52" xfId="0" applyFont="1" applyFill="1" applyBorder="1" applyProtection="1">
      <alignment vertical="center"/>
      <protection locked="0"/>
    </xf>
    <xf numFmtId="0" fontId="15" fillId="0" borderId="42" xfId="0" applyFont="1" applyBorder="1" applyProtection="1">
      <alignment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31" xfId="0" applyFont="1" applyBorder="1" applyAlignment="1">
      <alignment horizontal="center" vertical="center"/>
    </xf>
    <xf numFmtId="38" fontId="6" fillId="0" borderId="0" xfId="1" applyFont="1" applyBorder="1" applyAlignment="1" applyProtection="1">
      <alignment vertical="center"/>
      <protection locked="0"/>
    </xf>
    <xf numFmtId="38" fontId="15" fillId="0" borderId="45" xfId="1" applyFont="1" applyFill="1" applyBorder="1" applyProtection="1">
      <alignment vertical="center"/>
      <protection locked="0"/>
    </xf>
    <xf numFmtId="38" fontId="15" fillId="0" borderId="46" xfId="1" applyFont="1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38" fontId="11" fillId="0" borderId="0" xfId="1" applyFont="1" applyFill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3" fillId="0" borderId="0" xfId="1" applyFont="1" applyAlignment="1">
      <alignment horizontal="right" vertical="center"/>
    </xf>
    <xf numFmtId="38" fontId="13" fillId="0" borderId="0" xfId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11" fillId="0" borderId="0" xfId="1" applyFont="1">
      <alignment vertical="center"/>
    </xf>
    <xf numFmtId="38" fontId="11" fillId="0" borderId="0" xfId="1" applyFont="1" applyFill="1" applyAlignment="1">
      <alignment horizontal="center" vertical="center"/>
    </xf>
    <xf numFmtId="38" fontId="11" fillId="0" borderId="0" xfId="1" applyFont="1" applyFill="1">
      <alignment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0" xfId="1" applyFont="1" applyFill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38" fontId="6" fillId="2" borderId="35" xfId="1" applyFont="1" applyFill="1" applyBorder="1" applyAlignment="1" applyProtection="1">
      <alignment horizontal="center" vertical="center"/>
      <protection locked="0"/>
    </xf>
    <xf numFmtId="38" fontId="6" fillId="2" borderId="56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38" fontId="6" fillId="2" borderId="39" xfId="1" applyFont="1" applyFill="1" applyBorder="1" applyAlignment="1" applyProtection="1">
      <alignment horizontal="center" vertical="center"/>
      <protection locked="0"/>
    </xf>
    <xf numFmtId="38" fontId="6" fillId="2" borderId="41" xfId="1" applyFont="1" applyFill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distributed" vertical="center" indent="1"/>
    </xf>
    <xf numFmtId="0" fontId="8" fillId="0" borderId="10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38" fontId="8" fillId="0" borderId="4" xfId="1" applyFont="1" applyBorder="1" applyAlignment="1">
      <alignment horizontal="distributed" vertical="center"/>
    </xf>
    <xf numFmtId="38" fontId="8" fillId="0" borderId="2" xfId="1" applyFont="1" applyBorder="1" applyAlignment="1">
      <alignment horizontal="distributed" vertical="center"/>
    </xf>
    <xf numFmtId="38" fontId="8" fillId="0" borderId="31" xfId="1" applyFont="1" applyBorder="1" applyAlignment="1">
      <alignment horizontal="distributed" vertical="center"/>
    </xf>
    <xf numFmtId="38" fontId="8" fillId="0" borderId="4" xfId="1" applyFont="1" applyFill="1" applyBorder="1" applyAlignment="1">
      <alignment horizontal="distributed" vertical="center" indent="1"/>
    </xf>
    <xf numFmtId="38" fontId="8" fillId="0" borderId="2" xfId="1" applyFont="1" applyFill="1" applyBorder="1" applyAlignment="1">
      <alignment horizontal="distributed" vertical="center" indent="1"/>
    </xf>
    <xf numFmtId="38" fontId="8" fillId="0" borderId="31" xfId="1" applyFont="1" applyFill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 indent="1"/>
    </xf>
    <xf numFmtId="0" fontId="8" fillId="0" borderId="32" xfId="0" applyFont="1" applyBorder="1" applyAlignment="1">
      <alignment horizontal="distributed" vertical="center" indent="1"/>
    </xf>
    <xf numFmtId="0" fontId="8" fillId="0" borderId="6" xfId="0" applyFont="1" applyBorder="1" applyAlignment="1">
      <alignment horizontal="distributed" vertical="center" indent="1"/>
    </xf>
    <xf numFmtId="0" fontId="8" fillId="0" borderId="26" xfId="0" applyFont="1" applyBorder="1" applyAlignment="1">
      <alignment horizontal="distributed" vertical="center" indent="1"/>
    </xf>
    <xf numFmtId="0" fontId="8" fillId="0" borderId="27" xfId="0" applyFont="1" applyBorder="1" applyAlignment="1">
      <alignment horizontal="distributed" vertical="center" indent="1"/>
    </xf>
    <xf numFmtId="0" fontId="8" fillId="0" borderId="28" xfId="0" applyFont="1" applyBorder="1" applyAlignment="1">
      <alignment horizontal="distributed" vertical="center" indent="1"/>
    </xf>
    <xf numFmtId="0" fontId="8" fillId="0" borderId="34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8" fillId="0" borderId="35" xfId="0" applyFont="1" applyBorder="1" applyAlignment="1">
      <alignment horizontal="distributed" vertical="center" indent="1"/>
    </xf>
    <xf numFmtId="0" fontId="8" fillId="0" borderId="33" xfId="0" applyFont="1" applyBorder="1" applyAlignment="1">
      <alignment horizontal="distributed" vertical="center" indent="1"/>
    </xf>
    <xf numFmtId="0" fontId="8" fillId="0" borderId="36" xfId="0" applyFont="1" applyBorder="1" applyAlignment="1">
      <alignment horizontal="distributed" vertical="center" indent="1"/>
    </xf>
    <xf numFmtId="0" fontId="8" fillId="0" borderId="23" xfId="0" applyFont="1" applyBorder="1" applyAlignment="1">
      <alignment horizontal="distributed" vertical="center" wrapText="1"/>
    </xf>
    <xf numFmtId="0" fontId="8" fillId="0" borderId="24" xfId="0" applyFont="1" applyBorder="1" applyAlignment="1">
      <alignment horizontal="distributed" vertical="center"/>
    </xf>
    <xf numFmtId="0" fontId="8" fillId="0" borderId="29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39" xfId="0" applyFont="1" applyBorder="1" applyAlignment="1">
      <alignment horizontal="distributed" vertical="center"/>
    </xf>
    <xf numFmtId="0" fontId="8" fillId="0" borderId="40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 indent="1"/>
    </xf>
    <xf numFmtId="0" fontId="8" fillId="0" borderId="31" xfId="0" applyFont="1" applyBorder="1" applyAlignment="1">
      <alignment horizontal="distributed" vertical="center" indent="1"/>
    </xf>
    <xf numFmtId="0" fontId="8" fillId="0" borderId="29" xfId="0" applyFont="1" applyBorder="1" applyAlignment="1">
      <alignment horizontal="distributed" vertical="center" indent="1"/>
    </xf>
    <xf numFmtId="0" fontId="8" fillId="0" borderId="29" xfId="0" applyFont="1" applyBorder="1" applyAlignment="1">
      <alignment horizontal="distributed" vertical="center" textRotation="255"/>
    </xf>
    <xf numFmtId="0" fontId="8" fillId="0" borderId="32" xfId="0" applyFont="1" applyBorder="1" applyAlignment="1">
      <alignment horizontal="distributed" vertical="center" textRotation="255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8" xfId="0" applyFont="1" applyBorder="1" applyAlignment="1">
      <alignment horizontal="distributed" vertical="center"/>
    </xf>
    <xf numFmtId="0" fontId="8" fillId="0" borderId="19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 indent="1"/>
    </xf>
    <xf numFmtId="0" fontId="8" fillId="0" borderId="24" xfId="0" applyFont="1" applyBorder="1" applyAlignment="1">
      <alignment horizontal="distributed" vertical="center" indent="1"/>
    </xf>
    <xf numFmtId="0" fontId="8" fillId="0" borderId="25" xfId="0" applyFont="1" applyBorder="1" applyAlignment="1">
      <alignment horizontal="distributed" vertical="center" indent="1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38" fontId="16" fillId="0" borderId="0" xfId="1" applyFont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16" fillId="0" borderId="0" xfId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16" fillId="0" borderId="0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>
      <alignment horizontal="right" vertical="center"/>
    </xf>
    <xf numFmtId="38" fontId="16" fillId="0" borderId="0" xfId="1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4BE7C-F2B1-4C48-87EC-4E91BF7574F0}">
  <sheetPr>
    <pageSetUpPr fitToPage="1"/>
  </sheetPr>
  <dimension ref="A1:AC95"/>
  <sheetViews>
    <sheetView tabSelected="1" zoomScale="115" zoomScaleNormal="115" workbookViewId="0">
      <selection activeCell="C7" sqref="C7:D7"/>
    </sheetView>
  </sheetViews>
  <sheetFormatPr defaultColWidth="9" defaultRowHeight="16" x14ac:dyDescent="0.55000000000000004"/>
  <cols>
    <col min="1" max="8" width="11.58203125" style="1" customWidth="1"/>
    <col min="9" max="9" width="11.58203125" style="37" customWidth="1"/>
    <col min="10" max="10" width="11.58203125" style="48" customWidth="1"/>
    <col min="11" max="11" width="11.33203125" style="37" customWidth="1"/>
    <col min="12" max="12" width="16.5" style="37" customWidth="1"/>
    <col min="13" max="13" width="8.33203125" style="36" customWidth="1"/>
    <col min="14" max="14" width="11.33203125" style="165" customWidth="1"/>
    <col min="15" max="15" width="8.33203125" style="165" customWidth="1"/>
    <col min="16" max="19" width="15.25" style="36" customWidth="1"/>
    <col min="20" max="20" width="15.25" style="37" customWidth="1"/>
    <col min="21" max="26" width="8.33203125" style="38" customWidth="1"/>
    <col min="27" max="29" width="9" style="38"/>
    <col min="30" max="16384" width="9" style="1"/>
  </cols>
  <sheetData>
    <row r="1" spans="1:29" ht="22.5" x14ac:dyDescent="0.55000000000000004">
      <c r="A1" s="53" t="s">
        <v>185</v>
      </c>
      <c r="B1" s="39"/>
      <c r="C1" s="39"/>
      <c r="D1" s="39"/>
      <c r="E1" s="39"/>
      <c r="F1" s="39"/>
      <c r="G1" s="39"/>
      <c r="H1" s="39"/>
      <c r="I1" s="82"/>
      <c r="J1" s="49"/>
    </row>
    <row r="2" spans="1:29" x14ac:dyDescent="0.55000000000000004">
      <c r="A2" s="49"/>
      <c r="B2" s="39"/>
      <c r="C2" s="39"/>
      <c r="D2" s="39"/>
      <c r="E2" s="39"/>
      <c r="F2" s="39"/>
      <c r="G2" s="39"/>
      <c r="H2" s="39"/>
      <c r="I2" s="82"/>
      <c r="J2" s="49"/>
    </row>
    <row r="3" spans="1:29" x14ac:dyDescent="0.55000000000000004">
      <c r="A3" s="49" t="s">
        <v>136</v>
      </c>
      <c r="B3" s="39"/>
      <c r="C3" s="39"/>
      <c r="D3" s="39"/>
      <c r="E3" s="39"/>
      <c r="F3" s="39"/>
      <c r="G3" s="39"/>
      <c r="H3" s="39"/>
      <c r="I3" s="82"/>
      <c r="J3" s="49"/>
    </row>
    <row r="4" spans="1:29" x14ac:dyDescent="0.55000000000000004">
      <c r="A4" s="54" t="s">
        <v>137</v>
      </c>
      <c r="B4" s="39"/>
      <c r="C4" s="39"/>
      <c r="D4" s="39"/>
      <c r="E4" s="39"/>
      <c r="F4" s="39"/>
      <c r="G4" s="39"/>
      <c r="H4" s="39"/>
    </row>
    <row r="5" spans="1:29" x14ac:dyDescent="0.55000000000000004">
      <c r="A5" s="49" t="s">
        <v>138</v>
      </c>
      <c r="B5" s="39"/>
      <c r="C5" s="39"/>
      <c r="D5" s="39"/>
      <c r="E5" s="39"/>
      <c r="F5" s="39"/>
      <c r="G5" s="39"/>
      <c r="H5" s="39"/>
    </row>
    <row r="6" spans="1:29" x14ac:dyDescent="0.55000000000000004">
      <c r="A6" s="39"/>
      <c r="B6" s="39"/>
      <c r="C6" s="39"/>
      <c r="D6" s="39"/>
      <c r="E6" s="39"/>
      <c r="F6" s="39"/>
      <c r="G6" s="39"/>
      <c r="H6" s="39"/>
    </row>
    <row r="7" spans="1:29" x14ac:dyDescent="0.55000000000000004">
      <c r="A7" s="40" t="s">
        <v>3</v>
      </c>
      <c r="B7" s="41" t="s">
        <v>32</v>
      </c>
      <c r="C7" s="118"/>
      <c r="D7" s="118"/>
      <c r="E7" s="39"/>
      <c r="F7" s="39"/>
      <c r="G7" s="39"/>
      <c r="H7" s="39"/>
      <c r="T7" s="36"/>
    </row>
    <row r="8" spans="1:29" ht="16.5" thickBot="1" x14ac:dyDescent="0.6">
      <c r="A8" s="39" t="s">
        <v>31</v>
      </c>
      <c r="B8" s="39"/>
      <c r="C8" s="39"/>
      <c r="D8" s="39"/>
      <c r="E8" s="39"/>
      <c r="F8" s="39"/>
      <c r="G8" s="39"/>
      <c r="H8" s="39"/>
      <c r="N8" s="165" t="s">
        <v>0</v>
      </c>
      <c r="O8" s="165" t="s">
        <v>50</v>
      </c>
      <c r="P8" s="36" t="s">
        <v>57</v>
      </c>
      <c r="Q8" s="36">
        <v>380000</v>
      </c>
      <c r="R8" s="36">
        <v>260000</v>
      </c>
      <c r="S8" s="36">
        <v>130000</v>
      </c>
      <c r="T8" s="36">
        <v>0</v>
      </c>
    </row>
    <row r="9" spans="1:29" s="2" customFormat="1" x14ac:dyDescent="0.55000000000000004">
      <c r="A9" s="105" t="s">
        <v>139</v>
      </c>
      <c r="B9" s="109"/>
      <c r="C9" s="119" t="s">
        <v>2</v>
      </c>
      <c r="D9" s="120"/>
      <c r="E9" s="110" t="s">
        <v>153</v>
      </c>
      <c r="F9" s="111"/>
      <c r="G9" s="109" t="s">
        <v>23</v>
      </c>
      <c r="H9" s="111"/>
      <c r="I9" s="36"/>
      <c r="K9" s="36"/>
      <c r="L9" s="36"/>
      <c r="M9" s="36" t="s">
        <v>4</v>
      </c>
      <c r="N9" s="165">
        <f>A10</f>
        <v>0</v>
      </c>
      <c r="O9" s="165">
        <f>A31</f>
        <v>0</v>
      </c>
      <c r="P9" s="36" t="s">
        <v>46</v>
      </c>
      <c r="Q9" s="36" t="s">
        <v>47</v>
      </c>
      <c r="R9" s="36" t="s">
        <v>48</v>
      </c>
      <c r="S9" s="36" t="s">
        <v>49</v>
      </c>
      <c r="T9" s="36"/>
      <c r="U9" s="90"/>
      <c r="V9" s="90"/>
      <c r="W9" s="90"/>
      <c r="X9" s="90"/>
      <c r="Y9" s="90"/>
      <c r="Z9" s="90"/>
      <c r="AA9" s="90"/>
      <c r="AB9" s="90"/>
      <c r="AC9" s="90"/>
    </row>
    <row r="10" spans="1:29" s="2" customFormat="1" ht="16.5" thickBot="1" x14ac:dyDescent="0.6">
      <c r="A10" s="104"/>
      <c r="B10" s="112"/>
      <c r="C10" s="121" t="str">
        <f>IF(A10="","",IF(A10&lt;551000,0,IF(A10&lt;1619000,A10-550000,IF(A10&lt;1620000,1069000,IF(A10&lt;1622000,1070000,IF(A10&lt;1624000,1072000,IF(A10&lt;1628000,1074000,IF(A10&lt;1800000,ROUNDDOWN(A10/4,-3)*4*0.6+100000,IF(A10&lt;3600000,ROUNDDOWN(A10/4,-3)*4*0.7-80000,IF(A10&lt;6600000,ROUNDDOWN(A10/4,-3)*4*0.8-440000,IF(A10&lt;8500000,A10*0.9-1100000,IF(A10&lt;10000001,A10-1950000-((A10-8500000)*0.1),A10-2100000))))))))))))</f>
        <v/>
      </c>
      <c r="D10" s="122"/>
      <c r="E10" s="115"/>
      <c r="F10" s="116"/>
      <c r="G10" s="112"/>
      <c r="H10" s="117"/>
      <c r="I10" s="36">
        <f>IF(OR(E10="",E10="無"),4,IF(C10&lt;=9000000,1,IF(C10&lt;=9500000,2,IF(C10&lt;=10000000,3,4))))</f>
        <v>4</v>
      </c>
      <c r="K10" s="36">
        <f>IF(E10="老人",-1,IF(G10&lt;=850000,1,IF(G10&lt;=1000000,2,IF(G10&lt;=1050000,3,IF(G10&lt;=1100000,4,IF(G10&lt;=1150000,5,IF(G10&lt;=1200000,6,IF(G10&lt;=1250000,7,IF(G10&lt;=1300000,8,IF(G10&lt;=1330000,9,10))))))))))</f>
        <v>1</v>
      </c>
      <c r="L10" s="36"/>
      <c r="M10" s="36" t="s">
        <v>2</v>
      </c>
      <c r="N10" s="165" t="str">
        <f>C10</f>
        <v/>
      </c>
      <c r="O10" s="165" t="str">
        <f>C31</f>
        <v/>
      </c>
      <c r="P10" s="36" t="s">
        <v>112</v>
      </c>
      <c r="Q10" s="36">
        <v>330000</v>
      </c>
      <c r="R10" s="36">
        <v>220000</v>
      </c>
      <c r="S10" s="36">
        <v>110000</v>
      </c>
      <c r="T10" s="36">
        <v>0</v>
      </c>
      <c r="U10" s="90"/>
      <c r="V10" s="90"/>
      <c r="W10" s="90"/>
      <c r="X10" s="90"/>
      <c r="Y10" s="90"/>
      <c r="Z10" s="90"/>
      <c r="AA10" s="90"/>
      <c r="AB10" s="90"/>
      <c r="AC10" s="90"/>
    </row>
    <row r="11" spans="1:29" x14ac:dyDescent="0.55000000000000004">
      <c r="A11" s="39" t="s">
        <v>28</v>
      </c>
      <c r="B11" s="39"/>
      <c r="C11" s="39"/>
      <c r="D11" s="39"/>
      <c r="E11" s="39"/>
      <c r="F11" s="39"/>
      <c r="G11" s="39"/>
      <c r="H11" s="39"/>
      <c r="I11" s="36">
        <f>IF(OR(E10="",E10="無"),4,IF(C10&lt;=9000000,1,IF(C10&lt;=9500000,2,IF(C10&lt;=10000000,3,4))))</f>
        <v>4</v>
      </c>
      <c r="J11" s="2"/>
      <c r="K11" s="36">
        <f>IF(E10="老人",-1,IF(G10&lt;400000,1,IF(G10&lt;450000,2,3)))</f>
        <v>1</v>
      </c>
      <c r="P11" s="36" t="s">
        <v>51</v>
      </c>
      <c r="Q11" s="36">
        <v>330000</v>
      </c>
      <c r="R11" s="36">
        <v>220000</v>
      </c>
      <c r="S11" s="36">
        <v>110000</v>
      </c>
      <c r="T11" s="36">
        <v>0</v>
      </c>
    </row>
    <row r="12" spans="1:29" s="2" customFormat="1" x14ac:dyDescent="0.55000000000000004">
      <c r="A12" s="105" t="s">
        <v>15</v>
      </c>
      <c r="B12" s="105"/>
      <c r="C12" s="105"/>
      <c r="D12" s="105"/>
      <c r="E12" s="108" t="s">
        <v>27</v>
      </c>
      <c r="F12" s="105" t="s">
        <v>111</v>
      </c>
      <c r="G12" s="105"/>
      <c r="H12" s="105"/>
      <c r="I12" s="36"/>
      <c r="K12" s="36"/>
      <c r="L12" s="36"/>
      <c r="M12" s="36" t="s">
        <v>34</v>
      </c>
      <c r="N12" s="165">
        <f ca="1">SUM(N13,N14,N20,N21,N22,N29,N30)</f>
        <v>0</v>
      </c>
      <c r="O12" s="165">
        <f ca="1">SUM(O13,O14,O20,O21,O22,O29,O30)</f>
        <v>0</v>
      </c>
      <c r="P12" s="36" t="s">
        <v>52</v>
      </c>
      <c r="Q12" s="36">
        <v>310000</v>
      </c>
      <c r="R12" s="36">
        <v>210000</v>
      </c>
      <c r="S12" s="36">
        <v>110000</v>
      </c>
      <c r="T12" s="36">
        <v>0</v>
      </c>
      <c r="U12" s="90"/>
      <c r="V12" s="90"/>
      <c r="W12" s="90"/>
      <c r="X12" s="90"/>
      <c r="Y12" s="90"/>
      <c r="Z12" s="90"/>
      <c r="AA12" s="90"/>
      <c r="AB12" s="90"/>
      <c r="AC12" s="90"/>
    </row>
    <row r="13" spans="1:29" s="2" customFormat="1" x14ac:dyDescent="0.55000000000000004">
      <c r="A13" s="3" t="s">
        <v>6</v>
      </c>
      <c r="B13" s="3" t="s">
        <v>119</v>
      </c>
      <c r="C13" s="3" t="s">
        <v>7</v>
      </c>
      <c r="D13" s="3" t="s">
        <v>8</v>
      </c>
      <c r="E13" s="105"/>
      <c r="F13" s="3" t="s">
        <v>17</v>
      </c>
      <c r="G13" s="3" t="s">
        <v>18</v>
      </c>
      <c r="H13" s="3" t="s">
        <v>8</v>
      </c>
      <c r="I13" s="36"/>
      <c r="K13" s="36"/>
      <c r="L13" s="36"/>
      <c r="M13" s="36" t="s">
        <v>35</v>
      </c>
      <c r="N13" s="165">
        <f>A18</f>
        <v>0</v>
      </c>
      <c r="O13" s="165">
        <f>A39</f>
        <v>0</v>
      </c>
      <c r="P13" s="36" t="s">
        <v>53</v>
      </c>
      <c r="Q13" s="36">
        <v>260000</v>
      </c>
      <c r="R13" s="36">
        <v>180000</v>
      </c>
      <c r="S13" s="36">
        <v>90000</v>
      </c>
      <c r="T13" s="36">
        <v>0</v>
      </c>
      <c r="U13" s="90"/>
      <c r="V13" s="90"/>
      <c r="W13" s="90"/>
      <c r="X13" s="90"/>
      <c r="Y13" s="90"/>
      <c r="Z13" s="90"/>
      <c r="AA13" s="90"/>
      <c r="AB13" s="90"/>
      <c r="AC13" s="90"/>
    </row>
    <row r="14" spans="1:29" s="2" customFormat="1" x14ac:dyDescent="0.55000000000000004">
      <c r="A14" s="56"/>
      <c r="B14" s="56"/>
      <c r="C14" s="56"/>
      <c r="D14" s="56"/>
      <c r="E14" s="56"/>
      <c r="F14" s="56"/>
      <c r="G14" s="56"/>
      <c r="H14" s="56"/>
      <c r="I14" s="36"/>
      <c r="K14" s="36"/>
      <c r="L14" s="36"/>
      <c r="M14" s="36" t="s">
        <v>36</v>
      </c>
      <c r="N14" s="165">
        <f>MIN(70000,MAX(MIN(N15+N16,28000),N16)+N17+MAX(MIN(N18+N19,28000),N19))</f>
        <v>0</v>
      </c>
      <c r="O14" s="165">
        <f>MIN(70000,MAX(MIN(O15+O16,28000),O16)+O17+MAX(MIN(O18+O19,28000),O19))</f>
        <v>0</v>
      </c>
      <c r="P14" s="36" t="s">
        <v>54</v>
      </c>
      <c r="Q14" s="36">
        <v>210000</v>
      </c>
      <c r="R14" s="36">
        <v>140000</v>
      </c>
      <c r="S14" s="36">
        <v>70000</v>
      </c>
      <c r="T14" s="36">
        <v>0</v>
      </c>
      <c r="U14" s="90"/>
      <c r="V14" s="90"/>
      <c r="W14" s="90"/>
      <c r="X14" s="90"/>
      <c r="Y14" s="90"/>
      <c r="Z14" s="90"/>
      <c r="AA14" s="90"/>
      <c r="AB14" s="90"/>
      <c r="AC14" s="90"/>
    </row>
    <row r="15" spans="1:29" x14ac:dyDescent="0.55000000000000004">
      <c r="A15" s="39" t="s">
        <v>30</v>
      </c>
      <c r="B15" s="39"/>
      <c r="C15" s="39"/>
      <c r="D15" s="39"/>
      <c r="E15" s="39"/>
      <c r="F15" s="39"/>
      <c r="G15" s="39"/>
      <c r="H15" s="39"/>
      <c r="M15" s="36" t="s">
        <v>182</v>
      </c>
      <c r="N15" s="165">
        <f>IF(E18&lt;=12000,E18,IF(E18&lt;=32000,E18/2+6000,IF(E18&lt;=56000,E18/4+14000,28000)))</f>
        <v>0</v>
      </c>
      <c r="O15" s="165">
        <f>IF(E39&lt;=12000,E39,IF(E39&lt;=32000,E39/2+6000,IF(E39&lt;=56000,E39/4+14000,28000)))</f>
        <v>0</v>
      </c>
      <c r="P15" s="36" t="s">
        <v>55</v>
      </c>
      <c r="Q15" s="36">
        <v>160000</v>
      </c>
      <c r="R15" s="36">
        <v>110000</v>
      </c>
      <c r="S15" s="36">
        <v>60000</v>
      </c>
      <c r="T15" s="36">
        <v>0</v>
      </c>
    </row>
    <row r="16" spans="1:29" s="2" customFormat="1" x14ac:dyDescent="0.55000000000000004">
      <c r="A16" s="108" t="s">
        <v>65</v>
      </c>
      <c r="B16" s="105"/>
      <c r="C16" s="105" t="s">
        <v>19</v>
      </c>
      <c r="D16" s="105"/>
      <c r="E16" s="105" t="s">
        <v>178</v>
      </c>
      <c r="F16" s="105"/>
      <c r="G16" s="105"/>
      <c r="H16" s="105"/>
      <c r="I16" s="105"/>
      <c r="J16" s="49"/>
      <c r="K16" s="36"/>
      <c r="L16" s="36"/>
      <c r="M16" s="36" t="s">
        <v>183</v>
      </c>
      <c r="N16" s="165">
        <f>IF(F18&lt;=15000,F18,IF(F18&lt;=40000,F18/2+7500,IF(F18&lt;=70000,F18/4+17500,35000)))</f>
        <v>0</v>
      </c>
      <c r="O16" s="165">
        <f>IF(F39&lt;=15000,F39,IF(F39&lt;=40000,F39/2+7500,IF(F39&lt;=70000,F39/4+17500,35000)))</f>
        <v>0</v>
      </c>
      <c r="P16" s="36" t="s">
        <v>56</v>
      </c>
      <c r="Q16" s="36">
        <v>110000</v>
      </c>
      <c r="R16" s="36">
        <v>80000</v>
      </c>
      <c r="S16" s="36">
        <v>40000</v>
      </c>
      <c r="T16" s="36">
        <v>0</v>
      </c>
      <c r="U16" s="90"/>
      <c r="V16" s="90"/>
      <c r="W16" s="90"/>
      <c r="X16" s="90"/>
      <c r="Y16" s="90"/>
      <c r="Z16" s="90"/>
      <c r="AA16" s="90"/>
      <c r="AB16" s="90"/>
      <c r="AC16" s="90"/>
    </row>
    <row r="17" spans="1:29" s="2" customFormat="1" x14ac:dyDescent="0.55000000000000004">
      <c r="A17" s="105"/>
      <c r="B17" s="105"/>
      <c r="C17" s="105"/>
      <c r="D17" s="105"/>
      <c r="E17" s="3" t="s">
        <v>20</v>
      </c>
      <c r="F17" s="3" t="s">
        <v>21</v>
      </c>
      <c r="G17" s="3" t="s">
        <v>22</v>
      </c>
      <c r="H17" s="3" t="s">
        <v>179</v>
      </c>
      <c r="I17" s="3" t="s">
        <v>180</v>
      </c>
      <c r="J17" s="42"/>
      <c r="K17" s="36"/>
      <c r="L17" s="36"/>
      <c r="M17" s="36" t="s">
        <v>184</v>
      </c>
      <c r="N17" s="165">
        <f>IF(G18&lt;=12000,G18,IF(G18&lt;=32000,G18/2+6000,IF(G18&lt;=56000,G18/4+14000,28000)))</f>
        <v>0</v>
      </c>
      <c r="O17" s="165">
        <f>IF(G39&lt;=12000,G39,IF(G39&lt;=32000,G39/2+6000,IF(G39&lt;=56000,G39/4+14000,28000)))</f>
        <v>0</v>
      </c>
      <c r="P17" s="36" t="s">
        <v>124</v>
      </c>
      <c r="Q17" s="36">
        <v>60000</v>
      </c>
      <c r="R17" s="36">
        <v>40000</v>
      </c>
      <c r="S17" s="36">
        <v>20000</v>
      </c>
      <c r="T17" s="36">
        <v>0</v>
      </c>
      <c r="U17" s="90"/>
      <c r="V17" s="90"/>
      <c r="W17" s="90"/>
      <c r="X17" s="90"/>
      <c r="Y17" s="90"/>
      <c r="Z17" s="90"/>
      <c r="AA17" s="90"/>
      <c r="AB17" s="90"/>
      <c r="AC17" s="90"/>
    </row>
    <row r="18" spans="1:29" s="2" customFormat="1" x14ac:dyDescent="0.55000000000000004">
      <c r="A18" s="104"/>
      <c r="B18" s="104"/>
      <c r="C18" s="104"/>
      <c r="D18" s="104"/>
      <c r="E18" s="56"/>
      <c r="F18" s="56"/>
      <c r="G18" s="56"/>
      <c r="H18" s="56"/>
      <c r="I18" s="56"/>
      <c r="J18" s="55"/>
      <c r="K18" s="36"/>
      <c r="L18" s="36"/>
      <c r="M18" s="36" t="s">
        <v>38</v>
      </c>
      <c r="N18" s="165">
        <f>IF(H18&lt;=12000,H18,IF(H18&lt;=32000,H18/2+6000,IF(H18&lt;=56000,H18/4+14000,28000)))</f>
        <v>0</v>
      </c>
      <c r="O18" s="165">
        <f>IF(H39&lt;=12000,H39,IF(H39&lt;=32000,H39/2+6000,IF(H39&lt;=56000,H39/4+14000,28000)))</f>
        <v>0</v>
      </c>
      <c r="P18" s="36" t="s">
        <v>125</v>
      </c>
      <c r="Q18" s="36">
        <v>30000</v>
      </c>
      <c r="R18" s="36">
        <v>20000</v>
      </c>
      <c r="S18" s="36">
        <v>10000</v>
      </c>
      <c r="T18" s="36">
        <v>0</v>
      </c>
      <c r="U18" s="90"/>
      <c r="V18" s="90"/>
      <c r="W18" s="90"/>
      <c r="X18" s="90"/>
      <c r="Y18" s="90"/>
      <c r="Z18" s="90"/>
      <c r="AA18" s="90"/>
      <c r="AB18" s="90"/>
      <c r="AC18" s="90"/>
    </row>
    <row r="19" spans="1:29" x14ac:dyDescent="0.55000000000000004">
      <c r="A19" s="39" t="s">
        <v>126</v>
      </c>
      <c r="B19" s="39"/>
      <c r="C19" s="39"/>
      <c r="D19" s="39"/>
      <c r="E19" s="39"/>
      <c r="F19" s="39"/>
      <c r="G19" s="39"/>
      <c r="H19" s="48" t="s">
        <v>141</v>
      </c>
      <c r="I19" s="82"/>
      <c r="J19" s="49"/>
      <c r="M19" s="36" t="s">
        <v>39</v>
      </c>
      <c r="N19" s="165">
        <f>IF(I18&lt;=15000,I18,IF(I18&lt;=40000,I18/2+7500,IF(I18&lt;=70000,I18/4+17500,35000)))</f>
        <v>0</v>
      </c>
      <c r="O19" s="165">
        <f>IF(I39&lt;=15000,I39,IF(I39&lt;=40000,I39/2+7500,IF(I39&lt;=70000,I39/4+17500,35000)))</f>
        <v>0</v>
      </c>
      <c r="P19" s="36" t="s">
        <v>123</v>
      </c>
      <c r="Q19" s="36">
        <v>0</v>
      </c>
      <c r="R19" s="36">
        <v>0</v>
      </c>
      <c r="S19" s="36">
        <v>0</v>
      </c>
      <c r="T19" s="36">
        <v>0</v>
      </c>
    </row>
    <row r="20" spans="1:29" s="2" customFormat="1" ht="16.5" customHeight="1" x14ac:dyDescent="0.55000000000000004">
      <c r="A20" s="105" t="s">
        <v>140</v>
      </c>
      <c r="B20" s="105"/>
      <c r="C20" s="105" t="s">
        <v>25</v>
      </c>
      <c r="D20" s="106" t="s">
        <v>154</v>
      </c>
      <c r="E20" s="107"/>
      <c r="F20" s="105" t="s">
        <v>11</v>
      </c>
      <c r="G20" s="42"/>
      <c r="H20" s="40" t="s">
        <v>3</v>
      </c>
      <c r="I20" s="82"/>
      <c r="J20" s="42"/>
      <c r="K20" s="36"/>
      <c r="L20" s="36"/>
      <c r="M20" s="36" t="s">
        <v>37</v>
      </c>
      <c r="N20" s="165">
        <f>ROUNDDOWN(IF(C18&lt;=50000,C18/2,25000),0)</f>
        <v>0</v>
      </c>
      <c r="O20" s="165">
        <f>ROUNDDOWN(IF(C39&lt;=50000,C39/2,25000),0)</f>
        <v>0</v>
      </c>
      <c r="P20" s="36"/>
      <c r="Q20" s="36"/>
      <c r="R20" s="36"/>
      <c r="S20" s="36"/>
      <c r="T20" s="36"/>
      <c r="U20" s="90"/>
      <c r="V20" s="90"/>
      <c r="W20" s="90"/>
      <c r="X20" s="90"/>
      <c r="Y20" s="90"/>
      <c r="Z20" s="90"/>
      <c r="AA20" s="90"/>
      <c r="AB20" s="90"/>
      <c r="AC20" s="90"/>
    </row>
    <row r="21" spans="1:29" s="2" customFormat="1" ht="16.5" thickBot="1" x14ac:dyDescent="0.6">
      <c r="A21" s="3" t="s">
        <v>17</v>
      </c>
      <c r="B21" s="3" t="s">
        <v>8</v>
      </c>
      <c r="C21" s="105"/>
      <c r="D21" s="43" t="s">
        <v>117</v>
      </c>
      <c r="E21" s="3" t="s">
        <v>118</v>
      </c>
      <c r="F21" s="105"/>
      <c r="G21" s="42"/>
      <c r="H21" s="44" t="s">
        <v>181</v>
      </c>
      <c r="I21" s="83"/>
      <c r="J21" s="87">
        <f ca="1">N12</f>
        <v>0</v>
      </c>
      <c r="K21" s="36"/>
      <c r="L21" s="36"/>
      <c r="M21" s="36" t="s">
        <v>41</v>
      </c>
      <c r="N21" s="165">
        <f ca="1">OFFSET(P9,K10,I10,1,1)</f>
        <v>0</v>
      </c>
      <c r="O21" s="165">
        <f ca="1">OFFSET(P9,K31,I31,1,1)</f>
        <v>0</v>
      </c>
      <c r="P21" s="36"/>
      <c r="Q21" s="36"/>
      <c r="R21" s="36"/>
      <c r="S21" s="36"/>
      <c r="T21" s="36"/>
      <c r="U21" s="90"/>
      <c r="V21" s="90"/>
      <c r="W21" s="90"/>
      <c r="X21" s="90"/>
      <c r="Y21" s="90"/>
      <c r="Z21" s="90"/>
      <c r="AA21" s="90"/>
      <c r="AB21" s="90"/>
      <c r="AC21" s="90"/>
    </row>
    <row r="22" spans="1:29" s="2" customFormat="1" x14ac:dyDescent="0.55000000000000004">
      <c r="A22" s="56"/>
      <c r="B22" s="56"/>
      <c r="C22" s="56"/>
      <c r="D22" s="57"/>
      <c r="E22" s="57"/>
      <c r="F22" s="56"/>
      <c r="G22" s="42"/>
      <c r="H22" s="44" t="s">
        <v>142</v>
      </c>
      <c r="I22" s="85"/>
      <c r="J22" s="88">
        <f ca="1">N39</f>
        <v>0</v>
      </c>
      <c r="K22" s="36"/>
      <c r="L22" s="36"/>
      <c r="M22" s="36" t="s">
        <v>40</v>
      </c>
      <c r="N22" s="165">
        <f>SUM(N23:N29)</f>
        <v>0</v>
      </c>
      <c r="O22" s="165">
        <f>SUM(O23:O26)</f>
        <v>0</v>
      </c>
      <c r="P22" s="36" t="s">
        <v>57</v>
      </c>
      <c r="Q22" s="36">
        <v>100000</v>
      </c>
      <c r="R22" s="36">
        <v>60000</v>
      </c>
      <c r="S22" s="36">
        <v>30000</v>
      </c>
      <c r="T22" s="36">
        <v>0</v>
      </c>
      <c r="U22" s="90"/>
      <c r="V22" s="90"/>
      <c r="W22" s="90"/>
      <c r="X22" s="90"/>
      <c r="Y22" s="90"/>
      <c r="Z22" s="90"/>
      <c r="AA22" s="90"/>
      <c r="AB22" s="90"/>
      <c r="AC22" s="90"/>
    </row>
    <row r="23" spans="1:29" ht="16.5" thickBot="1" x14ac:dyDescent="0.6">
      <c r="A23" s="39"/>
      <c r="B23" s="39"/>
      <c r="C23" s="39"/>
      <c r="D23" s="39"/>
      <c r="E23" s="39"/>
      <c r="F23" s="39"/>
      <c r="G23" s="42"/>
      <c r="H23" s="45" t="s">
        <v>143</v>
      </c>
      <c r="I23" s="86"/>
      <c r="J23" s="89">
        <f ca="1">N46</f>
        <v>0</v>
      </c>
      <c r="K23" s="36"/>
      <c r="M23" s="36" t="s">
        <v>6</v>
      </c>
      <c r="N23" s="165">
        <f>A14*450000</f>
        <v>0</v>
      </c>
      <c r="O23" s="165">
        <f>A35*450000</f>
        <v>0</v>
      </c>
      <c r="P23" s="36" t="s">
        <v>46</v>
      </c>
      <c r="Q23" s="36" t="s">
        <v>47</v>
      </c>
      <c r="R23" s="36" t="s">
        <v>48</v>
      </c>
      <c r="S23" s="36" t="s">
        <v>49</v>
      </c>
      <c r="T23" s="36"/>
    </row>
    <row r="24" spans="1:29" x14ac:dyDescent="0.55000000000000004">
      <c r="A24" s="50"/>
      <c r="B24" s="51"/>
      <c r="C24" s="39"/>
      <c r="D24" s="49"/>
      <c r="E24" s="49"/>
      <c r="F24" s="51"/>
      <c r="G24" s="39"/>
      <c r="H24" s="48" t="s">
        <v>144</v>
      </c>
      <c r="I24" s="82"/>
      <c r="J24" s="49"/>
      <c r="M24" s="36" t="s">
        <v>119</v>
      </c>
      <c r="N24" s="165">
        <f>B14*450000</f>
        <v>0</v>
      </c>
      <c r="O24" s="165">
        <f>B35*450000</f>
        <v>0</v>
      </c>
      <c r="P24" s="36" t="s">
        <v>112</v>
      </c>
      <c r="Q24" s="36">
        <v>50000</v>
      </c>
      <c r="R24" s="36">
        <v>40000</v>
      </c>
      <c r="S24" s="36">
        <v>20000</v>
      </c>
      <c r="T24" s="36">
        <v>0</v>
      </c>
    </row>
    <row r="25" spans="1:29" x14ac:dyDescent="0.55000000000000004">
      <c r="A25" s="39"/>
      <c r="B25" s="39"/>
      <c r="C25" s="39"/>
      <c r="D25" s="49"/>
      <c r="E25" s="49"/>
      <c r="G25" s="39"/>
      <c r="H25" s="49" t="s">
        <v>145</v>
      </c>
      <c r="I25" s="82"/>
      <c r="J25" s="49"/>
      <c r="M25" s="36" t="s">
        <v>7</v>
      </c>
      <c r="N25" s="165">
        <f>C14*380000</f>
        <v>0</v>
      </c>
      <c r="O25" s="165">
        <f>C35*380000</f>
        <v>0</v>
      </c>
      <c r="P25" s="36" t="s">
        <v>113</v>
      </c>
      <c r="Q25" s="36">
        <v>30000</v>
      </c>
      <c r="R25" s="36">
        <v>20000</v>
      </c>
      <c r="S25" s="36">
        <v>10000</v>
      </c>
      <c r="T25" s="36">
        <v>0</v>
      </c>
    </row>
    <row r="26" spans="1:29" x14ac:dyDescent="0.55000000000000004">
      <c r="A26" s="39"/>
      <c r="B26" s="39"/>
      <c r="C26" s="39"/>
      <c r="D26" s="39"/>
      <c r="E26" s="39"/>
      <c r="F26" s="39"/>
      <c r="G26" s="39"/>
      <c r="H26" s="39"/>
      <c r="I26" s="82"/>
      <c r="J26" s="49"/>
      <c r="M26" s="36" t="s">
        <v>8</v>
      </c>
      <c r="N26" s="165">
        <f>D14*330000</f>
        <v>0</v>
      </c>
      <c r="O26" s="165">
        <f>D35*330000</f>
        <v>0</v>
      </c>
      <c r="P26" s="36" t="s">
        <v>114</v>
      </c>
      <c r="Q26" s="36">
        <v>0</v>
      </c>
      <c r="R26" s="36">
        <v>0</v>
      </c>
      <c r="S26" s="36">
        <v>0</v>
      </c>
      <c r="T26" s="36">
        <v>0</v>
      </c>
    </row>
    <row r="27" spans="1:29" x14ac:dyDescent="0.55000000000000004">
      <c r="A27" s="39"/>
      <c r="B27" s="39"/>
      <c r="C27" s="39"/>
      <c r="D27" s="39"/>
      <c r="E27" s="39"/>
      <c r="F27" s="39"/>
      <c r="G27" s="39"/>
      <c r="H27" s="39"/>
      <c r="I27" s="82"/>
      <c r="J27" s="49"/>
      <c r="M27" s="36" t="s">
        <v>120</v>
      </c>
      <c r="N27" s="165">
        <f>F14*300000</f>
        <v>0</v>
      </c>
      <c r="O27" s="165">
        <f>F35*300000</f>
        <v>0</v>
      </c>
      <c r="T27" s="36"/>
    </row>
    <row r="28" spans="1:29" x14ac:dyDescent="0.55000000000000004">
      <c r="A28" s="40" t="s">
        <v>12</v>
      </c>
      <c r="B28" s="41" t="s">
        <v>32</v>
      </c>
      <c r="C28" s="118"/>
      <c r="D28" s="118"/>
      <c r="E28" s="39"/>
      <c r="F28" s="39"/>
      <c r="G28" s="39"/>
      <c r="H28" s="39"/>
      <c r="I28" s="82"/>
      <c r="J28" s="49"/>
      <c r="M28" s="36" t="s">
        <v>121</v>
      </c>
      <c r="N28" s="165">
        <f>H14*260000</f>
        <v>0</v>
      </c>
      <c r="O28" s="165">
        <f>H35*260000</f>
        <v>0</v>
      </c>
      <c r="T28" s="36"/>
    </row>
    <row r="29" spans="1:29" ht="16.5" thickBot="1" x14ac:dyDescent="0.6">
      <c r="A29" s="39" t="s">
        <v>31</v>
      </c>
      <c r="B29" s="39"/>
      <c r="C29" s="39"/>
      <c r="D29" s="39"/>
      <c r="E29" s="39"/>
      <c r="F29" s="39"/>
      <c r="G29" s="39"/>
      <c r="H29" s="39"/>
      <c r="M29" s="36" t="s">
        <v>122</v>
      </c>
      <c r="N29" s="165">
        <f>G14*530000</f>
        <v>0</v>
      </c>
      <c r="O29" s="165">
        <f>G35*530000</f>
        <v>0</v>
      </c>
      <c r="T29" s="36"/>
    </row>
    <row r="30" spans="1:29" x14ac:dyDescent="0.55000000000000004">
      <c r="A30" s="105" t="s">
        <v>139</v>
      </c>
      <c r="B30" s="109"/>
      <c r="C30" s="119" t="s">
        <v>2</v>
      </c>
      <c r="D30" s="120"/>
      <c r="E30" s="110" t="s">
        <v>153</v>
      </c>
      <c r="F30" s="111"/>
      <c r="G30" s="109" t="s">
        <v>23</v>
      </c>
      <c r="H30" s="111"/>
      <c r="I30" s="36"/>
      <c r="J30" s="2"/>
      <c r="K30" s="36"/>
      <c r="M30" s="36" t="s">
        <v>42</v>
      </c>
      <c r="N30" s="165">
        <f>SUM(N31:N37)</f>
        <v>0</v>
      </c>
      <c r="O30" s="165">
        <f>SUM(O31:O37)</f>
        <v>0</v>
      </c>
      <c r="T30" s="36"/>
    </row>
    <row r="31" spans="1:29" ht="16.5" thickBot="1" x14ac:dyDescent="0.6">
      <c r="A31" s="104"/>
      <c r="B31" s="112"/>
      <c r="C31" s="113" t="str">
        <f>IF(A31="","",IF(A31&lt;551000,0,IF(A31&lt;1619000,A31-550000,IF(A31&lt;1620000,1069000,IF(A31&lt;1622000,1070000,IF(A31&lt;1624000,1072000,IF(A31&lt;1628000,1074000,IF(A31&lt;1800000,ROUNDDOWN(A31/4,-3)*4*0.6+100000,IF(A31&lt;3600000,ROUNDDOWN(A31/4,-3)*4*0.7-80000,IF(A31&lt;6600000,ROUNDDOWN(A31/4,-3)*4*0.8-440000,IF(A31&lt;8500000,A31*0.9-1100000,IF(A31&lt;10000001,A31-1950000-((A31-8500000)*0.1),A31-2100000))))))))))))</f>
        <v/>
      </c>
      <c r="D31" s="114"/>
      <c r="E31" s="115"/>
      <c r="F31" s="116"/>
      <c r="G31" s="112"/>
      <c r="H31" s="117"/>
      <c r="I31" s="36">
        <f>IF(OR(E31="無",E31=""),4,IF(C31&lt;=9000000,1,IF(C31&lt;=9500000,2,IF(C31&lt;=10000000,3,4))))</f>
        <v>4</v>
      </c>
      <c r="J31" s="2"/>
      <c r="K31" s="36">
        <f>IF(E31="老人",-1,IF(G31&lt;=850000,1,IF(G31&lt;=1000000,2,IF(G31&lt;=1050000,3,IF(G31&lt;=1100000,4,IF(G31&lt;=1150000,5,IF(G31&lt;=1200000,6,IF(G31&lt;=1250000,7,IF(G31&lt;=1300000,8,IF(G31&lt;=1330000,9,10))))))))))</f>
        <v>1</v>
      </c>
      <c r="M31" s="36" t="s">
        <v>43</v>
      </c>
      <c r="N31" s="165" t="str">
        <f>IF(C10="","",430000)</f>
        <v/>
      </c>
      <c r="O31" s="165" t="str">
        <f>IF(C31="","",430000)</f>
        <v/>
      </c>
      <c r="T31" s="36"/>
    </row>
    <row r="32" spans="1:29" x14ac:dyDescent="0.55000000000000004">
      <c r="A32" s="39" t="s">
        <v>28</v>
      </c>
      <c r="B32" s="39"/>
      <c r="C32" s="39"/>
      <c r="D32" s="39"/>
      <c r="E32" s="39"/>
      <c r="F32" s="39"/>
      <c r="G32" s="39"/>
      <c r="H32" s="39"/>
      <c r="I32" s="36">
        <f>IF(OR(E31="無",E31=""),4,IF(C31&lt;=9000000,1,IF(C31&lt;=9500000,2,IF(C31&lt;=10000000,3,4))))</f>
        <v>4</v>
      </c>
      <c r="J32" s="2"/>
      <c r="K32" s="36">
        <f>IF(E31="老人",-1,IF(G31&lt;400000,1,IF(G31&lt;450000,2,3)))</f>
        <v>1</v>
      </c>
      <c r="M32" s="36" t="s">
        <v>9</v>
      </c>
      <c r="N32" s="165">
        <f>IF(B22="○",260000,0)</f>
        <v>0</v>
      </c>
      <c r="O32" s="165">
        <f>IF(B43="○",260000,0)</f>
        <v>0</v>
      </c>
      <c r="T32" s="36"/>
    </row>
    <row r="33" spans="1:18" x14ac:dyDescent="0.55000000000000004">
      <c r="A33" s="105" t="s">
        <v>15</v>
      </c>
      <c r="B33" s="105"/>
      <c r="C33" s="105"/>
      <c r="D33" s="105"/>
      <c r="E33" s="108" t="s">
        <v>27</v>
      </c>
      <c r="F33" s="109" t="s">
        <v>111</v>
      </c>
      <c r="G33" s="110"/>
      <c r="H33" s="111"/>
      <c r="I33" s="36"/>
      <c r="J33" s="2"/>
      <c r="K33" s="36"/>
      <c r="M33" s="36" t="s">
        <v>10</v>
      </c>
      <c r="N33" s="165">
        <f>IF(A22="○",300000,0)</f>
        <v>0</v>
      </c>
      <c r="O33" s="165">
        <f>IF(A43="○",300000,0)</f>
        <v>0</v>
      </c>
    </row>
    <row r="34" spans="1:18" x14ac:dyDescent="0.55000000000000004">
      <c r="A34" s="3" t="s">
        <v>6</v>
      </c>
      <c r="B34" s="3" t="s">
        <v>16</v>
      </c>
      <c r="C34" s="3" t="s">
        <v>7</v>
      </c>
      <c r="D34" s="3" t="s">
        <v>8</v>
      </c>
      <c r="E34" s="105"/>
      <c r="F34" s="3" t="s">
        <v>17</v>
      </c>
      <c r="G34" s="3" t="s">
        <v>18</v>
      </c>
      <c r="H34" s="3" t="s">
        <v>8</v>
      </c>
      <c r="I34" s="36"/>
      <c r="J34" s="2"/>
      <c r="K34" s="36"/>
      <c r="M34" s="36" t="s">
        <v>115</v>
      </c>
      <c r="N34" s="165">
        <f>IF(D22="○",300000,0)</f>
        <v>0</v>
      </c>
      <c r="O34" s="165">
        <f>IF(D43="○",300000,0)</f>
        <v>0</v>
      </c>
    </row>
    <row r="35" spans="1:18" x14ac:dyDescent="0.55000000000000004">
      <c r="A35" s="56"/>
      <c r="B35" s="56"/>
      <c r="C35" s="56"/>
      <c r="D35" s="56"/>
      <c r="E35" s="56"/>
      <c r="F35" s="56"/>
      <c r="G35" s="56"/>
      <c r="H35" s="56"/>
      <c r="I35" s="36"/>
      <c r="J35" s="2"/>
      <c r="K35" s="36"/>
      <c r="M35" s="36" t="s">
        <v>116</v>
      </c>
      <c r="N35" s="165">
        <f>IF(E22="○",300000,0)</f>
        <v>0</v>
      </c>
      <c r="O35" s="165">
        <f>IF(E43="○",300000,0)</f>
        <v>0</v>
      </c>
    </row>
    <row r="36" spans="1:18" x14ac:dyDescent="0.55000000000000004">
      <c r="A36" s="39" t="s">
        <v>30</v>
      </c>
      <c r="B36" s="39"/>
      <c r="C36" s="39"/>
      <c r="D36" s="39"/>
      <c r="E36" s="39"/>
      <c r="F36" s="39"/>
      <c r="G36" s="39"/>
      <c r="H36" s="39"/>
      <c r="M36" s="36" t="s">
        <v>127</v>
      </c>
      <c r="N36" s="165">
        <f>IF(C22="○",260000,0)</f>
        <v>0</v>
      </c>
      <c r="O36" s="165">
        <f>IF(C43="○",260000,0)</f>
        <v>0</v>
      </c>
    </row>
    <row r="37" spans="1:18" x14ac:dyDescent="0.55000000000000004">
      <c r="A37" s="108" t="s">
        <v>65</v>
      </c>
      <c r="B37" s="105"/>
      <c r="C37" s="105" t="s">
        <v>19</v>
      </c>
      <c r="D37" s="105"/>
      <c r="E37" s="105" t="s">
        <v>178</v>
      </c>
      <c r="F37" s="105"/>
      <c r="G37" s="105"/>
      <c r="H37" s="105"/>
      <c r="I37" s="105"/>
      <c r="J37" s="42"/>
      <c r="K37" s="36"/>
      <c r="M37" s="36" t="s">
        <v>11</v>
      </c>
      <c r="N37" s="165">
        <f>IF(F22="○",260000,0)</f>
        <v>0</v>
      </c>
      <c r="O37" s="165">
        <f>IF(F43="○",260000,0)</f>
        <v>0</v>
      </c>
    </row>
    <row r="38" spans="1:18" x14ac:dyDescent="0.55000000000000004">
      <c r="A38" s="105"/>
      <c r="B38" s="105"/>
      <c r="C38" s="105"/>
      <c r="D38" s="105"/>
      <c r="E38" s="3" t="s">
        <v>20</v>
      </c>
      <c r="F38" s="3" t="s">
        <v>21</v>
      </c>
      <c r="G38" s="3" t="s">
        <v>22</v>
      </c>
      <c r="H38" s="3" t="s">
        <v>179</v>
      </c>
      <c r="I38" s="3" t="s">
        <v>180</v>
      </c>
      <c r="J38" s="42"/>
      <c r="K38" s="36"/>
    </row>
    <row r="39" spans="1:18" x14ac:dyDescent="0.55000000000000004">
      <c r="A39" s="104"/>
      <c r="B39" s="104"/>
      <c r="C39" s="104"/>
      <c r="D39" s="104"/>
      <c r="E39" s="56"/>
      <c r="F39" s="56"/>
      <c r="G39" s="56"/>
      <c r="H39" s="56"/>
      <c r="I39" s="56"/>
      <c r="J39" s="55"/>
      <c r="K39" s="36"/>
      <c r="M39" s="36" t="s">
        <v>1</v>
      </c>
      <c r="N39" s="165">
        <f ca="1">IFERROR(ROUNDDOWN(MAX(C10-J21,0),-3),0)</f>
        <v>0</v>
      </c>
      <c r="O39" s="165">
        <f ca="1">IFERROR(ROUNDDOWN(MAX(C31-O12,0),-3),0)</f>
        <v>0</v>
      </c>
    </row>
    <row r="40" spans="1:18" x14ac:dyDescent="0.55000000000000004">
      <c r="A40" s="39" t="s">
        <v>29</v>
      </c>
      <c r="B40" s="39"/>
      <c r="C40" s="39"/>
      <c r="D40" s="39"/>
      <c r="E40" s="39"/>
      <c r="F40" s="39"/>
      <c r="G40" s="39"/>
      <c r="H40" s="48" t="s">
        <v>141</v>
      </c>
      <c r="I40" s="82"/>
      <c r="J40" s="49"/>
    </row>
    <row r="41" spans="1:18" ht="16.5" customHeight="1" x14ac:dyDescent="0.55000000000000004">
      <c r="A41" s="105" t="s">
        <v>24</v>
      </c>
      <c r="B41" s="105"/>
      <c r="C41" s="105" t="s">
        <v>25</v>
      </c>
      <c r="D41" s="106" t="s">
        <v>154</v>
      </c>
      <c r="E41" s="107"/>
      <c r="F41" s="105" t="s">
        <v>11</v>
      </c>
      <c r="G41" s="42"/>
      <c r="H41" s="40" t="s">
        <v>12</v>
      </c>
      <c r="I41" s="84"/>
      <c r="J41" s="55"/>
      <c r="K41" s="36"/>
      <c r="M41" s="36" t="s">
        <v>44</v>
      </c>
      <c r="N41" s="165">
        <f ca="1">SUM(N42:N44)</f>
        <v>50000</v>
      </c>
      <c r="O41" s="165">
        <f ca="1">SUM(O42:O44)</f>
        <v>50000</v>
      </c>
    </row>
    <row r="42" spans="1:18" ht="16.5" thickBot="1" x14ac:dyDescent="0.6">
      <c r="A42" s="3" t="s">
        <v>17</v>
      </c>
      <c r="B42" s="3" t="s">
        <v>8</v>
      </c>
      <c r="C42" s="105"/>
      <c r="D42" s="43" t="s">
        <v>117</v>
      </c>
      <c r="E42" s="3" t="s">
        <v>118</v>
      </c>
      <c r="F42" s="105"/>
      <c r="G42" s="42"/>
      <c r="H42" s="44" t="s">
        <v>181</v>
      </c>
      <c r="I42" s="83"/>
      <c r="J42" s="87">
        <f ca="1">O12</f>
        <v>0</v>
      </c>
      <c r="K42" s="36"/>
      <c r="M42" s="36" t="s">
        <v>42</v>
      </c>
      <c r="N42" s="165">
        <f>50000+IF(A22="○",100000,0)+IF(B22="○",10000,0)+IF(D22="○",10000,0)+IF(E22="○",50000,0)+IF(C22="○",10000,0)+IF(F22="○",10000,0)</f>
        <v>50000</v>
      </c>
      <c r="O42" s="165">
        <f>50000+IF(A43="○",100000,0)+IF(B43="○",10000,0)+IF(D43="○",10000,0)+IF(E43="○",50000,0)+IF(C43="○",10000,0)+IF(F43="○",10000,0)</f>
        <v>50000</v>
      </c>
    </row>
    <row r="43" spans="1:18" x14ac:dyDescent="0.55000000000000004">
      <c r="A43" s="56"/>
      <c r="B43" s="56"/>
      <c r="C43" s="56"/>
      <c r="D43" s="57"/>
      <c r="E43" s="57"/>
      <c r="F43" s="56"/>
      <c r="G43" s="42"/>
      <c r="H43" s="44" t="s">
        <v>142</v>
      </c>
      <c r="I43" s="85"/>
      <c r="J43" s="88">
        <f ca="1">O39</f>
        <v>0</v>
      </c>
      <c r="K43" s="36"/>
      <c r="M43" s="36" t="s">
        <v>41</v>
      </c>
      <c r="N43" s="165">
        <f ca="1">OFFSET(P23,K11,I11,1,1)</f>
        <v>0</v>
      </c>
      <c r="O43" s="165">
        <f ca="1">OFFSET(P23,K32,I32,1,1)</f>
        <v>0</v>
      </c>
    </row>
    <row r="44" spans="1:18" ht="16.5" thickBot="1" x14ac:dyDescent="0.6">
      <c r="A44" s="39"/>
      <c r="B44" s="39"/>
      <c r="C44" s="39"/>
      <c r="D44" s="39"/>
      <c r="E44" s="39"/>
      <c r="F44" s="39"/>
      <c r="G44" s="39"/>
      <c r="H44" s="45" t="s">
        <v>143</v>
      </c>
      <c r="I44" s="86"/>
      <c r="J44" s="89">
        <f ca="1">O46</f>
        <v>0</v>
      </c>
      <c r="M44" s="36" t="s">
        <v>40</v>
      </c>
      <c r="N44" s="165">
        <f>A14*180000+B14*130000+C14*100000+D14*50000+G14*220000+F14*100000+H14*10000</f>
        <v>0</v>
      </c>
      <c r="O44" s="165">
        <f>A35*180000+B35*130000+C35*100000+D35*50000+G35*220000+F35*100000+H35*10000</f>
        <v>0</v>
      </c>
    </row>
    <row r="45" spans="1:18" x14ac:dyDescent="0.55000000000000004">
      <c r="A45" s="50"/>
      <c r="B45" s="51"/>
      <c r="C45" s="39"/>
      <c r="D45" s="49"/>
      <c r="E45" s="49"/>
      <c r="G45" s="39"/>
      <c r="H45" s="48" t="s">
        <v>144</v>
      </c>
      <c r="I45" s="82"/>
      <c r="J45" s="49"/>
    </row>
    <row r="46" spans="1:18" x14ac:dyDescent="0.55000000000000004">
      <c r="A46" s="39"/>
      <c r="B46" s="39"/>
      <c r="C46" s="39"/>
      <c r="D46" s="49"/>
      <c r="E46" s="49"/>
      <c r="G46" s="39"/>
      <c r="H46" s="49" t="s">
        <v>145</v>
      </c>
      <c r="I46" s="82"/>
      <c r="J46" s="49"/>
      <c r="M46" s="36" t="s">
        <v>45</v>
      </c>
      <c r="N46" s="165">
        <f ca="1">IF(C7="政令指定都市",0.04,0.03)*IF(N39&gt;2000000,MAX(50000,N41-(N39-2000000)),MIN(N41,N39))</f>
        <v>0</v>
      </c>
      <c r="O46" s="165">
        <f ca="1">IF(C28="政令指定都市",0.04,0.03)*IF(O39&gt;2000000,MAX(50000,O41-(O39-2000000)),MIN(O41,O39))</f>
        <v>0</v>
      </c>
    </row>
    <row r="47" spans="1:18" x14ac:dyDescent="0.55000000000000004">
      <c r="A47" s="39"/>
      <c r="B47" s="39"/>
      <c r="C47" s="39"/>
      <c r="D47" s="39"/>
      <c r="E47" s="39"/>
      <c r="F47" s="39"/>
      <c r="G47" s="39"/>
      <c r="H47" s="39"/>
      <c r="I47" s="82"/>
      <c r="J47" s="49"/>
      <c r="N47" s="36"/>
      <c r="O47" s="36"/>
      <c r="R47" s="37"/>
    </row>
    <row r="48" spans="1:18" ht="16.5" thickBot="1" x14ac:dyDescent="0.6">
      <c r="A48" s="49" t="s">
        <v>149</v>
      </c>
      <c r="B48" s="39"/>
      <c r="C48" s="39"/>
      <c r="D48" s="48" t="s">
        <v>148</v>
      </c>
      <c r="F48" s="39"/>
      <c r="G48" s="39"/>
      <c r="H48" s="39"/>
      <c r="I48" s="82"/>
      <c r="J48" s="49"/>
      <c r="K48" s="37" t="s">
        <v>108</v>
      </c>
      <c r="N48" s="36"/>
      <c r="O48" s="36"/>
      <c r="R48" s="37"/>
    </row>
    <row r="49" spans="1:20" x14ac:dyDescent="0.55000000000000004">
      <c r="A49" s="46" t="s">
        <v>103</v>
      </c>
      <c r="B49" s="81">
        <f>SUM(E14,E35)</f>
        <v>0</v>
      </c>
      <c r="C49" s="39"/>
      <c r="D49" s="66" t="s">
        <v>107</v>
      </c>
      <c r="E49" s="67"/>
      <c r="F49" s="39"/>
      <c r="G49" s="47"/>
      <c r="H49" s="39"/>
      <c r="I49" s="82"/>
      <c r="J49" s="49"/>
      <c r="K49" s="99" t="s">
        <v>172</v>
      </c>
      <c r="L49" s="174"/>
      <c r="N49" s="36"/>
      <c r="O49" s="36"/>
      <c r="R49" s="37"/>
    </row>
    <row r="50" spans="1:20" x14ac:dyDescent="0.55000000000000004">
      <c r="A50" s="39" t="s">
        <v>105</v>
      </c>
      <c r="B50" s="102">
        <f>SUM(D35,D14)</f>
        <v>0</v>
      </c>
      <c r="C50" s="39" t="s">
        <v>128</v>
      </c>
      <c r="D50" s="68"/>
      <c r="E50" s="69"/>
      <c r="F50" s="39"/>
      <c r="G50" s="47"/>
      <c r="H50" s="47"/>
      <c r="I50" s="82"/>
      <c r="J50" s="49"/>
      <c r="K50" s="99" t="s">
        <v>103</v>
      </c>
      <c r="L50" s="175">
        <f>IF($E$51="〇",MAX(0,B49-1),B49)</f>
        <v>0</v>
      </c>
      <c r="N50" s="36"/>
      <c r="O50" s="36"/>
      <c r="R50" s="37"/>
    </row>
    <row r="51" spans="1:20" ht="16.5" thickBot="1" x14ac:dyDescent="0.6">
      <c r="A51" s="46" t="s">
        <v>104</v>
      </c>
      <c r="B51" s="103"/>
      <c r="C51" s="39"/>
      <c r="D51" s="46" t="s">
        <v>129</v>
      </c>
      <c r="E51" s="52"/>
      <c r="F51" s="39"/>
      <c r="G51" s="47"/>
      <c r="H51" s="47"/>
      <c r="I51" s="82"/>
      <c r="J51" s="49"/>
      <c r="K51" s="99" t="s">
        <v>105</v>
      </c>
      <c r="L51" s="176">
        <f>IF($E$51="〇",B50+1,B50)</f>
        <v>0</v>
      </c>
      <c r="N51" s="36"/>
      <c r="O51" s="36"/>
      <c r="R51" s="37"/>
    </row>
    <row r="52" spans="1:20" x14ac:dyDescent="0.55000000000000004">
      <c r="A52" s="39" t="s">
        <v>109</v>
      </c>
      <c r="B52" s="39"/>
      <c r="C52" s="39"/>
      <c r="D52" s="49" t="s">
        <v>186</v>
      </c>
      <c r="E52" s="39"/>
      <c r="F52" s="39"/>
      <c r="G52" s="47"/>
      <c r="H52" s="47"/>
      <c r="I52" s="82"/>
      <c r="J52" s="49"/>
      <c r="K52" s="99" t="s">
        <v>104</v>
      </c>
      <c r="L52" s="176"/>
    </row>
    <row r="53" spans="1:20" x14ac:dyDescent="0.55000000000000004">
      <c r="A53" s="39" t="s">
        <v>110</v>
      </c>
      <c r="B53" s="39"/>
      <c r="C53" s="39"/>
      <c r="D53" s="48" t="s">
        <v>147</v>
      </c>
      <c r="G53" s="47"/>
      <c r="H53" s="47"/>
      <c r="I53" s="82"/>
      <c r="J53" s="49"/>
      <c r="K53" s="100" t="s">
        <v>173</v>
      </c>
      <c r="L53" s="177"/>
    </row>
    <row r="54" spans="1:20" x14ac:dyDescent="0.55000000000000004">
      <c r="A54" s="39"/>
      <c r="B54" s="39"/>
      <c r="C54" s="39"/>
      <c r="G54" s="47"/>
      <c r="H54" s="47"/>
      <c r="I54" s="82"/>
      <c r="J54" s="49"/>
      <c r="K54" s="101" t="s">
        <v>174</v>
      </c>
      <c r="L54" s="178">
        <f>INDEX($M$57:$R$62,L50+1,L51+1)</f>
        <v>113700</v>
      </c>
    </row>
    <row r="55" spans="1:20" ht="16.5" thickBot="1" x14ac:dyDescent="0.6">
      <c r="A55" s="49" t="s">
        <v>151</v>
      </c>
      <c r="B55" s="39"/>
      <c r="C55" s="39"/>
      <c r="D55" s="48" t="s">
        <v>177</v>
      </c>
      <c r="G55" s="47"/>
      <c r="H55" s="47"/>
      <c r="I55" s="82"/>
      <c r="J55" s="49"/>
      <c r="M55" s="100" t="s">
        <v>175</v>
      </c>
    </row>
    <row r="56" spans="1:20" ht="16.5" thickTop="1" x14ac:dyDescent="0.55000000000000004">
      <c r="A56" s="50" t="s">
        <v>0</v>
      </c>
      <c r="B56" s="65">
        <f ca="1">ROUNDDOWN(V77,-3)</f>
        <v>0</v>
      </c>
      <c r="C56" s="39"/>
      <c r="D56" s="78" t="s">
        <v>59</v>
      </c>
      <c r="E56" s="58"/>
      <c r="F56" s="74">
        <f>SUM(F57:F59)</f>
        <v>0</v>
      </c>
      <c r="G56" s="39"/>
      <c r="H56" s="47"/>
      <c r="I56" s="82"/>
      <c r="J56" s="49"/>
      <c r="L56" s="100" t="s">
        <v>106</v>
      </c>
      <c r="M56" s="36">
        <v>0</v>
      </c>
      <c r="N56" s="165">
        <v>1</v>
      </c>
      <c r="O56" s="165">
        <v>2</v>
      </c>
      <c r="P56" s="36">
        <v>3</v>
      </c>
      <c r="Q56" s="36">
        <v>4</v>
      </c>
      <c r="R56" s="36">
        <v>5</v>
      </c>
    </row>
    <row r="57" spans="1:20" x14ac:dyDescent="0.55000000000000004">
      <c r="A57" s="50" t="s">
        <v>50</v>
      </c>
      <c r="B57" s="65">
        <f ca="1">ROUNDDOWN(V78,-3)</f>
        <v>0</v>
      </c>
      <c r="C57" s="39"/>
      <c r="D57" s="59" t="s">
        <v>13</v>
      </c>
      <c r="E57" s="45"/>
      <c r="F57" s="60">
        <f>IF(OR(A10&lt;&gt;"", A31&lt;&gt;""), W82, 0)</f>
        <v>0</v>
      </c>
      <c r="G57" s="39"/>
      <c r="H57" s="39"/>
      <c r="I57" s="82"/>
      <c r="J57" s="49"/>
      <c r="K57" s="37" t="s">
        <v>106</v>
      </c>
      <c r="L57" s="37">
        <v>0</v>
      </c>
      <c r="M57" s="36">
        <v>113700</v>
      </c>
      <c r="N57" s="36">
        <v>113700</v>
      </c>
      <c r="O57" s="36">
        <v>113700</v>
      </c>
      <c r="P57" s="36">
        <v>115600</v>
      </c>
      <c r="Q57" s="36">
        <v>133000</v>
      </c>
      <c r="R57" s="36">
        <v>145800</v>
      </c>
    </row>
    <row r="58" spans="1:20" ht="17.25" customHeight="1" x14ac:dyDescent="0.55000000000000004">
      <c r="A58" s="41" t="s">
        <v>58</v>
      </c>
      <c r="B58" s="73">
        <f ca="1">B56+B57</f>
        <v>0</v>
      </c>
      <c r="D58" s="59" t="s">
        <v>187</v>
      </c>
      <c r="E58" s="45"/>
      <c r="F58" s="60">
        <f>IF(AND(OR(NOT(ISBLANK(A10)),NOT(ISBLANK(A31))),F57=0),118800,0)</f>
        <v>0</v>
      </c>
      <c r="G58" s="39"/>
      <c r="H58" s="39"/>
      <c r="I58" s="82"/>
      <c r="J58" s="49"/>
      <c r="L58" s="37">
        <v>1</v>
      </c>
      <c r="M58" s="36">
        <v>113700</v>
      </c>
      <c r="N58" s="36">
        <v>113700</v>
      </c>
      <c r="O58" s="36">
        <v>129300</v>
      </c>
      <c r="P58" s="36">
        <v>141900</v>
      </c>
      <c r="Q58" s="36">
        <v>154500</v>
      </c>
      <c r="R58" s="36">
        <v>167100</v>
      </c>
    </row>
    <row r="59" spans="1:20" ht="18.75" customHeight="1" x14ac:dyDescent="0.55000000000000004">
      <c r="D59" s="59" t="s">
        <v>14</v>
      </c>
      <c r="E59" s="45"/>
      <c r="F59" s="60">
        <f>IF(OR(A10&lt;&gt;"", A31&lt;&gt;""), MAX(0, Q82-F57), 0)</f>
        <v>0</v>
      </c>
      <c r="G59" s="39"/>
      <c r="H59" s="39"/>
      <c r="I59" s="82"/>
      <c r="J59" s="49"/>
      <c r="L59" s="37">
        <v>2</v>
      </c>
      <c r="M59" s="36">
        <v>113700</v>
      </c>
      <c r="N59" s="36">
        <v>138000</v>
      </c>
      <c r="O59" s="36">
        <v>150600</v>
      </c>
      <c r="P59" s="36">
        <v>163200</v>
      </c>
      <c r="Q59" s="36">
        <v>175800</v>
      </c>
      <c r="R59" s="36">
        <v>188400</v>
      </c>
    </row>
    <row r="60" spans="1:20" ht="16.5" thickBot="1" x14ac:dyDescent="0.6">
      <c r="A60" s="71" t="s">
        <v>152</v>
      </c>
      <c r="D60" s="77" t="s">
        <v>60</v>
      </c>
      <c r="E60" s="61"/>
      <c r="F60" s="75">
        <f>IF(OR(A10&lt;&gt;"", A31&lt;&gt;""), R82, 0)</f>
        <v>0</v>
      </c>
      <c r="H60" s="39"/>
      <c r="I60" s="82"/>
      <c r="J60" s="49"/>
      <c r="L60" s="37">
        <v>3</v>
      </c>
      <c r="M60" s="36">
        <v>146700</v>
      </c>
      <c r="N60" s="36">
        <v>159300</v>
      </c>
      <c r="O60" s="36">
        <v>171900</v>
      </c>
      <c r="P60" s="36">
        <v>184500</v>
      </c>
      <c r="Q60" s="36">
        <v>197100</v>
      </c>
      <c r="R60" s="36">
        <v>209700</v>
      </c>
    </row>
    <row r="61" spans="1:20" ht="17" thickTop="1" thickBot="1" x14ac:dyDescent="0.6">
      <c r="A61" s="70" t="str">
        <f ca="1">P82</f>
        <v>基準A</v>
      </c>
      <c r="B61" s="72"/>
      <c r="D61" s="79" t="s">
        <v>61</v>
      </c>
      <c r="E61" s="62"/>
      <c r="F61" s="76">
        <f>S82</f>
        <v>0</v>
      </c>
      <c r="L61" s="37">
        <v>4</v>
      </c>
      <c r="M61" s="36">
        <v>168000</v>
      </c>
      <c r="N61" s="36">
        <v>180600</v>
      </c>
      <c r="O61" s="36">
        <v>193200</v>
      </c>
      <c r="P61" s="36">
        <v>205800</v>
      </c>
      <c r="Q61" s="36">
        <v>218400</v>
      </c>
      <c r="R61" s="36">
        <v>231000</v>
      </c>
    </row>
    <row r="62" spans="1:20" ht="17" thickTop="1" thickBot="1" x14ac:dyDescent="0.6">
      <c r="D62" s="80" t="s">
        <v>86</v>
      </c>
      <c r="E62" s="63"/>
      <c r="F62" s="64">
        <f>SUM(F56,F60,F61)</f>
        <v>0</v>
      </c>
      <c r="L62" s="37">
        <v>5</v>
      </c>
      <c r="M62" s="36">
        <v>189400</v>
      </c>
      <c r="N62" s="36">
        <v>201900</v>
      </c>
      <c r="O62" s="36">
        <v>214500</v>
      </c>
      <c r="P62" s="36">
        <v>227100</v>
      </c>
      <c r="Q62" s="36">
        <v>239700</v>
      </c>
      <c r="R62" s="36">
        <v>252300</v>
      </c>
    </row>
    <row r="63" spans="1:20" ht="16.5" thickTop="1" x14ac:dyDescent="0.55000000000000004">
      <c r="D63" s="48" t="s">
        <v>146</v>
      </c>
    </row>
    <row r="64" spans="1:20" x14ac:dyDescent="0.55000000000000004">
      <c r="K64" s="82" t="s">
        <v>130</v>
      </c>
      <c r="L64" s="82"/>
      <c r="N64" s="36"/>
      <c r="O64" s="36"/>
      <c r="P64" s="165"/>
      <c r="Q64" s="165"/>
      <c r="T64" s="36"/>
    </row>
    <row r="65" spans="11:22" x14ac:dyDescent="0.55000000000000004">
      <c r="K65" s="82" t="s">
        <v>103</v>
      </c>
      <c r="L65" s="179"/>
      <c r="N65" s="36"/>
      <c r="O65" s="36"/>
      <c r="P65" s="165"/>
      <c r="T65" s="36"/>
      <c r="U65" s="90"/>
    </row>
    <row r="66" spans="11:22" x14ac:dyDescent="0.55000000000000004">
      <c r="K66" s="82" t="s">
        <v>105</v>
      </c>
      <c r="L66" s="180"/>
      <c r="N66" s="36"/>
      <c r="O66" s="36"/>
      <c r="P66" s="165"/>
      <c r="U66" s="90"/>
    </row>
    <row r="67" spans="11:22" x14ac:dyDescent="0.55000000000000004">
      <c r="K67" s="82" t="s">
        <v>104</v>
      </c>
      <c r="L67" s="180"/>
      <c r="N67" s="36"/>
      <c r="O67" s="36"/>
      <c r="P67" s="165"/>
      <c r="U67" s="90"/>
    </row>
    <row r="68" spans="11:22" x14ac:dyDescent="0.55000000000000004">
      <c r="K68" s="37" t="s">
        <v>131</v>
      </c>
      <c r="N68" s="166"/>
      <c r="O68" s="36"/>
      <c r="P68" s="165"/>
      <c r="U68" s="90"/>
    </row>
    <row r="69" spans="11:22" x14ac:dyDescent="0.55000000000000004">
      <c r="N69" s="36"/>
      <c r="Q69" s="165"/>
      <c r="T69" s="36"/>
      <c r="U69" s="90"/>
    </row>
    <row r="70" spans="11:22" x14ac:dyDescent="0.55000000000000004">
      <c r="N70" s="36"/>
      <c r="O70" s="36"/>
      <c r="Q70" s="165"/>
    </row>
    <row r="71" spans="11:22" x14ac:dyDescent="0.55000000000000004">
      <c r="N71" s="36"/>
      <c r="O71" s="36"/>
      <c r="R71" s="165"/>
    </row>
    <row r="72" spans="11:22" x14ac:dyDescent="0.55000000000000004">
      <c r="N72" s="36"/>
      <c r="O72" s="36"/>
      <c r="T72" s="36"/>
    </row>
    <row r="73" spans="11:22" x14ac:dyDescent="0.55000000000000004">
      <c r="N73" s="36"/>
      <c r="O73" s="36"/>
      <c r="T73" s="36"/>
    </row>
    <row r="74" spans="11:22" x14ac:dyDescent="0.55000000000000004">
      <c r="N74" s="36"/>
      <c r="O74" s="36"/>
      <c r="T74" s="165"/>
    </row>
    <row r="75" spans="11:22" x14ac:dyDescent="0.55000000000000004">
      <c r="N75" s="36"/>
      <c r="O75" s="36"/>
      <c r="T75" s="165"/>
    </row>
    <row r="76" spans="11:22" x14ac:dyDescent="0.55000000000000004">
      <c r="N76" s="37" t="s">
        <v>169</v>
      </c>
      <c r="O76" s="100"/>
      <c r="P76" s="100"/>
      <c r="Q76" s="100"/>
      <c r="R76" s="100"/>
      <c r="S76" s="100"/>
      <c r="T76" s="100"/>
      <c r="U76" s="91"/>
    </row>
    <row r="77" spans="11:22" x14ac:dyDescent="0.55000000000000004">
      <c r="N77" s="101" t="s">
        <v>132</v>
      </c>
      <c r="O77" s="101" t="s">
        <v>134</v>
      </c>
      <c r="P77" s="101">
        <f ca="1">J22</f>
        <v>0</v>
      </c>
      <c r="Q77" s="167" t="s">
        <v>170</v>
      </c>
      <c r="R77" s="168">
        <f ca="1">IF(P79="保護者１",P77-330000,P77)</f>
        <v>0</v>
      </c>
      <c r="S77" s="101" t="s">
        <v>176</v>
      </c>
      <c r="T77" s="169">
        <f ca="1">IF(C7="政令指定都市",J23*3/4,J23)</f>
        <v>0</v>
      </c>
      <c r="U77" s="92" t="s">
        <v>33</v>
      </c>
      <c r="V77" s="94">
        <f ca="1">MAX(0,R77*0.06-T77)</f>
        <v>0</v>
      </c>
    </row>
    <row r="78" spans="11:22" x14ac:dyDescent="0.55000000000000004">
      <c r="N78" s="101" t="s">
        <v>133</v>
      </c>
      <c r="O78" s="101" t="s">
        <v>135</v>
      </c>
      <c r="P78" s="101">
        <f ca="1">J43</f>
        <v>0</v>
      </c>
      <c r="Q78" s="167" t="s">
        <v>170</v>
      </c>
      <c r="R78" s="168">
        <f ca="1">IF(P79="保護者２",P78-330000,P78)</f>
        <v>0</v>
      </c>
      <c r="S78" s="101" t="s">
        <v>176</v>
      </c>
      <c r="T78" s="169">
        <f ca="1">IF(C28="政令指定都市",J44*3/4,J44)</f>
        <v>0</v>
      </c>
      <c r="U78" s="92" t="s">
        <v>33</v>
      </c>
      <c r="V78" s="94">
        <f ca="1">MAX(0,R78*0.06-T78)</f>
        <v>0</v>
      </c>
    </row>
    <row r="79" spans="11:22" x14ac:dyDescent="0.55000000000000004">
      <c r="N79" s="36"/>
      <c r="O79" s="101" t="s">
        <v>171</v>
      </c>
      <c r="P79" s="167" t="str">
        <f>IF(E51="","",IF(P77&gt;P78,"保護者１","保護者２"))</f>
        <v/>
      </c>
      <c r="T79" s="36"/>
      <c r="U79" s="92" t="s">
        <v>58</v>
      </c>
      <c r="V79" s="93">
        <f ca="1">B58</f>
        <v>0</v>
      </c>
    </row>
    <row r="81" spans="14:23" x14ac:dyDescent="0.55000000000000004">
      <c r="N81" s="170" t="s">
        <v>155</v>
      </c>
      <c r="O81" s="170" t="s">
        <v>62</v>
      </c>
      <c r="P81" s="170" t="s">
        <v>156</v>
      </c>
      <c r="Q81" s="36" t="s">
        <v>157</v>
      </c>
      <c r="R81" s="36" t="s">
        <v>158</v>
      </c>
      <c r="S81" s="36" t="s">
        <v>64</v>
      </c>
      <c r="T81" s="36"/>
      <c r="U81" s="95" t="s">
        <v>159</v>
      </c>
      <c r="V81" s="95" t="s">
        <v>156</v>
      </c>
      <c r="W81" s="90" t="s">
        <v>157</v>
      </c>
    </row>
    <row r="82" spans="14:23" x14ac:dyDescent="0.55000000000000004">
      <c r="N82" s="170"/>
      <c r="O82" s="170"/>
      <c r="P82" s="169" t="str">
        <f ca="1">VLOOKUP($V$79,$N$86:$R$90,2)</f>
        <v>基準A</v>
      </c>
      <c r="Q82" s="169">
        <f ca="1">VLOOKUP($V$79,$N$86:$R$90,3)</f>
        <v>410000</v>
      </c>
      <c r="R82" s="169">
        <f ca="1">VLOOKUP($V$79,$N$86:$R$90,4)</f>
        <v>200000</v>
      </c>
      <c r="S82" s="169">
        <f>IF(E49=1,VLOOKUP($V$79,$N$86:$R$90,5),0)</f>
        <v>0</v>
      </c>
      <c r="T82" s="36"/>
      <c r="U82" s="95"/>
      <c r="V82" s="94" t="str">
        <f ca="1">VLOOKUP($V$79,$T$86:$V$88,2)</f>
        <v>加算あり</v>
      </c>
      <c r="W82" s="94">
        <f ca="1">VLOOKUP($V$79,$T$86:$V$88,3)</f>
        <v>396000</v>
      </c>
    </row>
    <row r="83" spans="14:23" x14ac:dyDescent="0.55000000000000004">
      <c r="N83" s="170"/>
      <c r="O83" s="170"/>
      <c r="P83" s="169"/>
      <c r="T83" s="36"/>
      <c r="U83" s="95"/>
      <c r="V83" s="94"/>
      <c r="W83" s="94"/>
    </row>
    <row r="84" spans="14:23" x14ac:dyDescent="0.55000000000000004">
      <c r="N84" s="170" t="s">
        <v>160</v>
      </c>
      <c r="O84" s="170"/>
      <c r="P84" s="170"/>
      <c r="Q84" s="170"/>
      <c r="R84" s="100"/>
      <c r="S84" s="100"/>
      <c r="T84" s="100" t="s">
        <v>161</v>
      </c>
      <c r="U84" s="91"/>
      <c r="V84" s="91"/>
      <c r="W84" s="95"/>
    </row>
    <row r="85" spans="14:23" x14ac:dyDescent="0.55000000000000004">
      <c r="N85" s="100" t="s">
        <v>33</v>
      </c>
      <c r="O85" s="100" t="s">
        <v>150</v>
      </c>
      <c r="P85" s="100" t="s">
        <v>157</v>
      </c>
      <c r="Q85" s="100" t="s">
        <v>63</v>
      </c>
      <c r="R85" s="100" t="s">
        <v>64</v>
      </c>
      <c r="S85" s="100"/>
      <c r="T85" s="100" t="s">
        <v>33</v>
      </c>
      <c r="U85" s="91" t="s">
        <v>150</v>
      </c>
      <c r="V85" s="91" t="s">
        <v>157</v>
      </c>
      <c r="W85" s="95"/>
    </row>
    <row r="86" spans="14:23" x14ac:dyDescent="0.55000000000000004">
      <c r="N86" s="100">
        <v>0</v>
      </c>
      <c r="O86" s="100" t="s">
        <v>162</v>
      </c>
      <c r="P86" s="100">
        <v>410000</v>
      </c>
      <c r="Q86" s="100">
        <v>200000</v>
      </c>
      <c r="R86" s="100">
        <v>100000</v>
      </c>
      <c r="S86" s="100"/>
      <c r="T86" s="100">
        <v>0</v>
      </c>
      <c r="U86" s="91" t="s">
        <v>163</v>
      </c>
      <c r="V86" s="91">
        <v>396000</v>
      </c>
      <c r="W86" s="95"/>
    </row>
    <row r="87" spans="14:23" x14ac:dyDescent="0.55000000000000004">
      <c r="N87" s="171">
        <f>MAX(113700,L54)</f>
        <v>113700</v>
      </c>
      <c r="O87" s="100" t="s">
        <v>164</v>
      </c>
      <c r="P87" s="100">
        <v>410000</v>
      </c>
      <c r="Q87" s="100">
        <v>0</v>
      </c>
      <c r="R87" s="100">
        <v>100000</v>
      </c>
      <c r="S87" s="100"/>
      <c r="T87" s="100">
        <v>154500</v>
      </c>
      <c r="U87" s="91" t="s">
        <v>165</v>
      </c>
      <c r="V87" s="91">
        <v>118800</v>
      </c>
      <c r="W87" s="95"/>
    </row>
    <row r="88" spans="14:23" x14ac:dyDescent="0.55000000000000004">
      <c r="N88" s="100">
        <v>154500</v>
      </c>
      <c r="O88" s="100" t="s">
        <v>166</v>
      </c>
      <c r="P88" s="100">
        <v>410000</v>
      </c>
      <c r="Q88" s="100">
        <v>0</v>
      </c>
      <c r="R88" s="100">
        <v>100000</v>
      </c>
      <c r="S88" s="100"/>
      <c r="T88" s="100">
        <v>304200</v>
      </c>
      <c r="U88" s="91" t="s">
        <v>167</v>
      </c>
      <c r="V88" s="91">
        <v>0</v>
      </c>
      <c r="W88" s="96"/>
    </row>
    <row r="89" spans="14:23" x14ac:dyDescent="0.55000000000000004">
      <c r="N89" s="100">
        <v>162300</v>
      </c>
      <c r="O89" s="172" t="s">
        <v>168</v>
      </c>
      <c r="P89" s="100">
        <v>410000</v>
      </c>
      <c r="Q89" s="100">
        <v>0</v>
      </c>
      <c r="R89" s="100">
        <v>0</v>
      </c>
      <c r="S89" s="100"/>
      <c r="T89" s="100"/>
      <c r="U89" s="91"/>
      <c r="V89" s="91"/>
      <c r="W89" s="96"/>
    </row>
    <row r="90" spans="14:23" x14ac:dyDescent="0.55000000000000004">
      <c r="N90" s="100">
        <v>212700</v>
      </c>
      <c r="O90" s="100" t="s">
        <v>167</v>
      </c>
      <c r="P90" s="100">
        <v>0</v>
      </c>
      <c r="Q90" s="100">
        <v>0</v>
      </c>
      <c r="R90" s="100">
        <v>0</v>
      </c>
      <c r="S90" s="173"/>
      <c r="T90" s="173"/>
      <c r="U90" s="97"/>
      <c r="V90" s="98"/>
    </row>
    <row r="91" spans="14:23" x14ac:dyDescent="0.55000000000000004">
      <c r="S91" s="100"/>
      <c r="T91" s="100" t="s">
        <v>188</v>
      </c>
    </row>
    <row r="92" spans="14:23" x14ac:dyDescent="0.55000000000000004">
      <c r="T92" s="100" t="s">
        <v>33</v>
      </c>
      <c r="U92" s="91" t="s">
        <v>150</v>
      </c>
      <c r="V92" s="91" t="s">
        <v>157</v>
      </c>
    </row>
    <row r="93" spans="14:23" x14ac:dyDescent="0.55000000000000004">
      <c r="T93" s="100">
        <v>0</v>
      </c>
      <c r="U93" s="91" t="s">
        <v>163</v>
      </c>
      <c r="V93" s="91">
        <v>396000</v>
      </c>
    </row>
    <row r="94" spans="14:23" x14ac:dyDescent="0.55000000000000004">
      <c r="T94" s="100">
        <v>154500</v>
      </c>
      <c r="U94" s="91" t="s">
        <v>165</v>
      </c>
      <c r="V94" s="91">
        <v>118800</v>
      </c>
    </row>
    <row r="95" spans="14:23" x14ac:dyDescent="0.55000000000000004">
      <c r="T95" s="100">
        <v>304200</v>
      </c>
      <c r="U95" s="91" t="s">
        <v>167</v>
      </c>
      <c r="V95" s="91">
        <v>0</v>
      </c>
    </row>
  </sheetData>
  <sheetProtection sheet="1" selectLockedCells="1"/>
  <mergeCells count="45">
    <mergeCell ref="A10:B10"/>
    <mergeCell ref="C10:D10"/>
    <mergeCell ref="E10:F10"/>
    <mergeCell ref="G10:H10"/>
    <mergeCell ref="C7:D7"/>
    <mergeCell ref="A9:B9"/>
    <mergeCell ref="C9:D9"/>
    <mergeCell ref="E9:F9"/>
    <mergeCell ref="G9:H9"/>
    <mergeCell ref="A12:D12"/>
    <mergeCell ref="E12:E13"/>
    <mergeCell ref="F12:H12"/>
    <mergeCell ref="A16:B17"/>
    <mergeCell ref="C16:D17"/>
    <mergeCell ref="E16:I16"/>
    <mergeCell ref="A31:B31"/>
    <mergeCell ref="C31:D31"/>
    <mergeCell ref="E31:F31"/>
    <mergeCell ref="G31:H31"/>
    <mergeCell ref="A18:B18"/>
    <mergeCell ref="C18:D18"/>
    <mergeCell ref="A20:B20"/>
    <mergeCell ref="C20:C21"/>
    <mergeCell ref="D20:E20"/>
    <mergeCell ref="F20:F21"/>
    <mergeCell ref="C28:D28"/>
    <mergeCell ref="A30:B30"/>
    <mergeCell ref="C30:D30"/>
    <mergeCell ref="E30:F30"/>
    <mergeCell ref="G30:H30"/>
    <mergeCell ref="A33:D33"/>
    <mergeCell ref="E33:E34"/>
    <mergeCell ref="F33:H33"/>
    <mergeCell ref="A37:B38"/>
    <mergeCell ref="C37:D38"/>
    <mergeCell ref="E37:I37"/>
    <mergeCell ref="B50:B51"/>
    <mergeCell ref="L51:L52"/>
    <mergeCell ref="L66:L67"/>
    <mergeCell ref="A39:B39"/>
    <mergeCell ref="C39:D39"/>
    <mergeCell ref="A41:B41"/>
    <mergeCell ref="C41:C42"/>
    <mergeCell ref="D41:E41"/>
    <mergeCell ref="F41:F42"/>
  </mergeCells>
  <phoneticPr fontId="3"/>
  <conditionalFormatting sqref="G10:H10">
    <cfRule type="expression" dxfId="1" priority="2">
      <formula>OR($E$10="無",E10="")</formula>
    </cfRule>
  </conditionalFormatting>
  <conditionalFormatting sqref="G31:H31">
    <cfRule type="expression" dxfId="0" priority="1">
      <formula>OR($E$31="無",E31="")</formula>
    </cfRule>
  </conditionalFormatting>
  <dataValidations count="7">
    <dataValidation type="list" showInputMessage="1" showErrorMessage="1" sqref="E51" xr:uid="{BC4D439F-E23A-41F7-A29F-759E3E884EC6}">
      <formula1>"○"</formula1>
    </dataValidation>
    <dataValidation type="list" allowBlank="1" showInputMessage="1" showErrorMessage="1" sqref="G60" xr:uid="{79606B99-C7DC-45F2-9A65-732904F4B565}">
      <formula1>"〇,×"</formula1>
    </dataValidation>
    <dataValidation type="list" allowBlank="1" showInputMessage="1" showErrorMessage="1" sqref="E49:E50" xr:uid="{BFD1AEDF-2A7B-45C7-8D0D-6DF0445E78D3}">
      <formula1>"1,2,3"</formula1>
    </dataValidation>
    <dataValidation type="list" allowBlank="1" showInputMessage="1" showErrorMessage="1" sqref="B22:C22 F22" xr:uid="{1861F59E-95E7-4C5C-8D30-06E93E63CF0A}">
      <formula1>"○"</formula1>
    </dataValidation>
    <dataValidation type="list" allowBlank="1" showInputMessage="1" showErrorMessage="1" sqref="A22 D22:E22 A43:F43" xr:uid="{F5580BEC-6AF1-446F-BFC2-A5B765C8FFE2}">
      <formula1>",○"</formula1>
    </dataValidation>
    <dataValidation type="list" allowBlank="1" showInputMessage="1" showErrorMessage="1" sqref="C7 C28" xr:uid="{E72AC765-5953-4318-8AA1-38451F06624F}">
      <formula1>"政令指定都市,政令指定都市以外"</formula1>
    </dataValidation>
    <dataValidation type="list" allowBlank="1" showInputMessage="1" showErrorMessage="1" sqref="E10:F10 E31:F31" xr:uid="{71173579-E57F-4AAC-9054-6B8819F7CC24}">
      <formula1>"無,有,老人"</formula1>
    </dataValidation>
  </dataValidation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1"/>
  <sheetViews>
    <sheetView workbookViewId="0"/>
  </sheetViews>
  <sheetFormatPr defaultColWidth="9" defaultRowHeight="12" x14ac:dyDescent="0.55000000000000004"/>
  <cols>
    <col min="1" max="1" width="2.58203125" style="4" customWidth="1"/>
    <col min="2" max="2" width="3" style="4" customWidth="1"/>
    <col min="3" max="3" width="13.58203125" style="4" customWidth="1"/>
    <col min="4" max="4" width="12.58203125" style="4" bestFit="1" customWidth="1"/>
    <col min="5" max="5" width="15.83203125" style="4" customWidth="1"/>
    <col min="6" max="6" width="9" style="4"/>
    <col min="7" max="7" width="3.25" style="4" bestFit="1" customWidth="1"/>
    <col min="8" max="8" width="5" style="4" customWidth="1"/>
    <col min="9" max="9" width="5" style="4" bestFit="1" customWidth="1"/>
    <col min="10" max="12" width="5" style="4" customWidth="1"/>
    <col min="13" max="13" width="2.58203125" style="4" customWidth="1"/>
    <col min="14" max="16384" width="9" style="4"/>
  </cols>
  <sheetData>
    <row r="1" spans="2:12" ht="12.5" thickBot="1" x14ac:dyDescent="0.6"/>
    <row r="2" spans="2:12" ht="13.5" thickBot="1" x14ac:dyDescent="0.6">
      <c r="B2" s="155" t="s">
        <v>74</v>
      </c>
      <c r="C2" s="156"/>
      <c r="D2" s="156"/>
      <c r="E2" s="156"/>
      <c r="F2" s="156"/>
      <c r="G2" s="156"/>
      <c r="H2" s="156"/>
      <c r="I2" s="156"/>
      <c r="J2" s="156"/>
      <c r="K2" s="156"/>
      <c r="L2" s="157"/>
    </row>
    <row r="3" spans="2:12" x14ac:dyDescent="0.55000000000000004">
      <c r="B3" s="158" t="s">
        <v>75</v>
      </c>
      <c r="C3" s="159"/>
      <c r="D3" s="5"/>
      <c r="E3" s="6"/>
      <c r="F3" s="7"/>
      <c r="G3" s="5"/>
      <c r="H3" s="6"/>
      <c r="I3" s="6"/>
      <c r="J3" s="6"/>
      <c r="K3" s="6"/>
      <c r="L3" s="8"/>
    </row>
    <row r="4" spans="2:12" ht="12.5" thickBot="1" x14ac:dyDescent="0.6">
      <c r="B4" s="160" t="s">
        <v>76</v>
      </c>
      <c r="C4" s="161"/>
      <c r="D4" s="9"/>
      <c r="E4" s="10"/>
      <c r="F4" s="11"/>
      <c r="G4" s="9"/>
      <c r="H4" s="10"/>
      <c r="I4" s="10"/>
      <c r="J4" s="10"/>
      <c r="K4" s="10"/>
      <c r="L4" s="12"/>
    </row>
    <row r="5" spans="2:12" x14ac:dyDescent="0.55000000000000004">
      <c r="B5" s="162" t="s">
        <v>77</v>
      </c>
      <c r="C5" s="163"/>
      <c r="D5" s="164"/>
      <c r="E5" s="162" t="s">
        <v>78</v>
      </c>
      <c r="F5" s="164"/>
      <c r="G5" s="135" t="s">
        <v>79</v>
      </c>
      <c r="H5" s="136"/>
      <c r="I5" s="136"/>
      <c r="J5" s="136"/>
      <c r="K5" s="136"/>
      <c r="L5" s="137"/>
    </row>
    <row r="6" spans="2:12" x14ac:dyDescent="0.55000000000000004">
      <c r="B6" s="152" t="s">
        <v>80</v>
      </c>
      <c r="C6" s="132"/>
      <c r="D6" s="32">
        <v>2400000</v>
      </c>
      <c r="E6" s="14" t="s">
        <v>81</v>
      </c>
      <c r="F6" s="32">
        <v>250000</v>
      </c>
      <c r="G6" s="146" t="s">
        <v>66</v>
      </c>
      <c r="H6" s="132" t="s">
        <v>67</v>
      </c>
      <c r="I6" s="132"/>
      <c r="J6" s="126">
        <v>53700</v>
      </c>
      <c r="K6" s="127"/>
      <c r="L6" s="128"/>
    </row>
    <row r="7" spans="2:12" x14ac:dyDescent="0.55000000000000004">
      <c r="B7" s="152" t="s">
        <v>82</v>
      </c>
      <c r="C7" s="132"/>
      <c r="D7" s="13" t="s">
        <v>101</v>
      </c>
      <c r="E7" s="14" t="s">
        <v>83</v>
      </c>
      <c r="F7" s="13" t="s">
        <v>102</v>
      </c>
      <c r="G7" s="146"/>
      <c r="H7" s="132" t="s">
        <v>68</v>
      </c>
      <c r="I7" s="132"/>
      <c r="J7" s="126">
        <v>3500</v>
      </c>
      <c r="K7" s="127"/>
      <c r="L7" s="128"/>
    </row>
    <row r="8" spans="2:12" x14ac:dyDescent="0.55000000000000004">
      <c r="B8" s="153" t="s">
        <v>84</v>
      </c>
      <c r="C8" s="15" t="s">
        <v>85</v>
      </c>
      <c r="D8" s="32">
        <v>1500000</v>
      </c>
      <c r="E8" s="14" t="s">
        <v>70</v>
      </c>
      <c r="F8" s="13" t="s">
        <v>102</v>
      </c>
      <c r="G8" s="146"/>
      <c r="H8" s="132" t="s">
        <v>86</v>
      </c>
      <c r="I8" s="132"/>
      <c r="J8" s="126">
        <f>SUM(J6:L7)</f>
        <v>57200</v>
      </c>
      <c r="K8" s="127"/>
      <c r="L8" s="128"/>
    </row>
    <row r="9" spans="2:12" x14ac:dyDescent="0.55000000000000004">
      <c r="B9" s="153"/>
      <c r="C9" s="16" t="s">
        <v>87</v>
      </c>
      <c r="D9" s="13"/>
      <c r="E9" s="14" t="s">
        <v>88</v>
      </c>
      <c r="F9" s="13" t="s">
        <v>102</v>
      </c>
      <c r="G9" s="146" t="s">
        <v>69</v>
      </c>
      <c r="H9" s="132" t="s">
        <v>67</v>
      </c>
      <c r="I9" s="132"/>
      <c r="J9" s="126">
        <v>35800</v>
      </c>
      <c r="K9" s="127"/>
      <c r="L9" s="128"/>
    </row>
    <row r="10" spans="2:12" x14ac:dyDescent="0.55000000000000004">
      <c r="B10" s="153"/>
      <c r="C10" s="15"/>
      <c r="D10" s="17"/>
      <c r="E10" s="14" t="s">
        <v>71</v>
      </c>
      <c r="F10" s="13" t="s">
        <v>102</v>
      </c>
      <c r="G10" s="146"/>
      <c r="H10" s="132" t="s">
        <v>68</v>
      </c>
      <c r="I10" s="132"/>
      <c r="J10" s="126">
        <v>1500</v>
      </c>
      <c r="K10" s="127"/>
      <c r="L10" s="128"/>
    </row>
    <row r="11" spans="2:12" x14ac:dyDescent="0.55000000000000004">
      <c r="B11" s="153"/>
      <c r="C11" s="15"/>
      <c r="D11" s="17"/>
      <c r="E11" s="14" t="s">
        <v>72</v>
      </c>
      <c r="F11" s="32">
        <v>330000</v>
      </c>
      <c r="G11" s="146"/>
      <c r="H11" s="132" t="s">
        <v>86</v>
      </c>
      <c r="I11" s="132"/>
      <c r="J11" s="126">
        <f>SUM(J9:L10)</f>
        <v>37300</v>
      </c>
      <c r="K11" s="127"/>
      <c r="L11" s="128"/>
    </row>
    <row r="12" spans="2:12" ht="12.5" thickBot="1" x14ac:dyDescent="0.6">
      <c r="B12" s="153"/>
      <c r="C12" s="15"/>
      <c r="D12" s="17"/>
      <c r="E12" s="18" t="s">
        <v>87</v>
      </c>
      <c r="F12" s="13"/>
      <c r="G12" s="133" t="s">
        <v>73</v>
      </c>
      <c r="H12" s="134"/>
      <c r="I12" s="134"/>
      <c r="J12" s="126">
        <f>J11+J8</f>
        <v>94500</v>
      </c>
      <c r="K12" s="127"/>
      <c r="L12" s="128"/>
    </row>
    <row r="13" spans="2:12" x14ac:dyDescent="0.55000000000000004">
      <c r="B13" s="153"/>
      <c r="C13" s="15"/>
      <c r="D13" s="17"/>
      <c r="E13" s="14"/>
      <c r="F13" s="13"/>
      <c r="G13" s="135" t="s">
        <v>89</v>
      </c>
      <c r="H13" s="136"/>
      <c r="I13" s="136"/>
      <c r="J13" s="136"/>
      <c r="K13" s="136"/>
      <c r="L13" s="137"/>
    </row>
    <row r="14" spans="2:12" x14ac:dyDescent="0.55000000000000004">
      <c r="B14" s="153"/>
      <c r="C14" s="15"/>
      <c r="D14" s="17"/>
      <c r="E14" s="14"/>
      <c r="F14" s="13"/>
      <c r="G14" s="138" t="s">
        <v>90</v>
      </c>
      <c r="H14" s="139"/>
      <c r="I14" s="140"/>
      <c r="J14" s="129">
        <v>920000</v>
      </c>
      <c r="K14" s="130"/>
      <c r="L14" s="131"/>
    </row>
    <row r="15" spans="2:12" ht="12.5" thickBot="1" x14ac:dyDescent="0.6">
      <c r="B15" s="153"/>
      <c r="C15" s="15"/>
      <c r="D15" s="17"/>
      <c r="E15" s="14"/>
      <c r="F15" s="13"/>
      <c r="G15" s="141" t="s">
        <v>91</v>
      </c>
      <c r="H15" s="142"/>
      <c r="I15" s="143"/>
      <c r="J15" s="150" t="s">
        <v>100</v>
      </c>
      <c r="K15" s="139"/>
      <c r="L15" s="151"/>
    </row>
    <row r="16" spans="2:12" x14ac:dyDescent="0.55000000000000004">
      <c r="B16" s="153"/>
      <c r="C16" s="15"/>
      <c r="D16" s="17"/>
      <c r="E16" s="14"/>
      <c r="F16" s="13"/>
      <c r="G16" s="144" t="s">
        <v>92</v>
      </c>
      <c r="H16" s="145"/>
      <c r="I16" s="145" t="s">
        <v>5</v>
      </c>
      <c r="J16" s="145"/>
      <c r="K16" s="145"/>
      <c r="L16" s="33" t="s">
        <v>99</v>
      </c>
    </row>
    <row r="17" spans="2:12" ht="12.5" thickBot="1" x14ac:dyDescent="0.6">
      <c r="B17" s="153"/>
      <c r="C17" s="15"/>
      <c r="D17" s="17"/>
      <c r="E17" s="19"/>
      <c r="F17" s="20"/>
      <c r="G17" s="146"/>
      <c r="H17" s="147"/>
      <c r="I17" s="16" t="s">
        <v>26</v>
      </c>
      <c r="J17" s="16"/>
      <c r="K17" s="21" t="s">
        <v>93</v>
      </c>
      <c r="L17" s="13"/>
    </row>
    <row r="18" spans="2:12" ht="12.5" thickBot="1" x14ac:dyDescent="0.6">
      <c r="B18" s="154"/>
      <c r="C18" s="22"/>
      <c r="D18" s="23"/>
      <c r="E18" s="24" t="s">
        <v>94</v>
      </c>
      <c r="F18" s="35">
        <v>580000</v>
      </c>
      <c r="G18" s="146"/>
      <c r="H18" s="147"/>
      <c r="I18" s="16" t="s">
        <v>6</v>
      </c>
      <c r="J18" s="16"/>
      <c r="K18" s="21" t="s">
        <v>10</v>
      </c>
      <c r="L18" s="13"/>
    </row>
    <row r="19" spans="2:12" ht="12.5" thickBot="1" x14ac:dyDescent="0.6">
      <c r="B19" s="123" t="s">
        <v>95</v>
      </c>
      <c r="C19" s="123"/>
      <c r="D19" s="34">
        <v>1500000</v>
      </c>
      <c r="E19" s="24" t="s">
        <v>96</v>
      </c>
      <c r="F19" s="25"/>
      <c r="G19" s="148"/>
      <c r="H19" s="149"/>
      <c r="I19" s="26" t="s">
        <v>7</v>
      </c>
      <c r="J19" s="26"/>
      <c r="K19" s="26" t="s">
        <v>97</v>
      </c>
      <c r="L19" s="27">
        <v>1</v>
      </c>
    </row>
    <row r="20" spans="2:12" ht="12.5" thickBot="1" x14ac:dyDescent="0.6">
      <c r="B20" s="28"/>
      <c r="C20" s="28"/>
      <c r="D20" s="28"/>
      <c r="E20" s="28"/>
      <c r="F20" s="29"/>
      <c r="G20" s="29"/>
      <c r="H20" s="29"/>
      <c r="I20" s="29"/>
      <c r="J20" s="29"/>
      <c r="K20" s="29"/>
      <c r="L20" s="29"/>
    </row>
    <row r="21" spans="2:12" ht="12.5" thickBot="1" x14ac:dyDescent="0.6">
      <c r="B21" s="124" t="s">
        <v>98</v>
      </c>
      <c r="C21" s="125"/>
      <c r="D21" s="30"/>
      <c r="E21" s="29"/>
      <c r="F21" s="29"/>
      <c r="G21" s="29"/>
      <c r="H21" s="29"/>
      <c r="I21" s="29"/>
      <c r="J21" s="29"/>
      <c r="K21" s="29"/>
      <c r="L21" s="31"/>
    </row>
  </sheetData>
  <mergeCells count="34">
    <mergeCell ref="B2:L2"/>
    <mergeCell ref="B3:C3"/>
    <mergeCell ref="B4:C4"/>
    <mergeCell ref="B5:D5"/>
    <mergeCell ref="E5:F5"/>
    <mergeCell ref="G5:L5"/>
    <mergeCell ref="I16:K16"/>
    <mergeCell ref="J15:L15"/>
    <mergeCell ref="B6:C6"/>
    <mergeCell ref="G6:G8"/>
    <mergeCell ref="H6:I6"/>
    <mergeCell ref="B7:C7"/>
    <mergeCell ref="H7:I7"/>
    <mergeCell ref="B8:B18"/>
    <mergeCell ref="H8:I8"/>
    <mergeCell ref="G9:G11"/>
    <mergeCell ref="H9:I9"/>
    <mergeCell ref="H10:I10"/>
    <mergeCell ref="B19:C19"/>
    <mergeCell ref="B21:C21"/>
    <mergeCell ref="J6:L6"/>
    <mergeCell ref="J7:L7"/>
    <mergeCell ref="J8:L8"/>
    <mergeCell ref="J9:L9"/>
    <mergeCell ref="J10:L10"/>
    <mergeCell ref="J11:L11"/>
    <mergeCell ref="J12:L12"/>
    <mergeCell ref="J14:L14"/>
    <mergeCell ref="H11:I11"/>
    <mergeCell ref="G12:I12"/>
    <mergeCell ref="G13:L13"/>
    <mergeCell ref="G14:I14"/>
    <mergeCell ref="G15:I15"/>
    <mergeCell ref="G16:H1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補助額試算表</vt:lpstr>
      <vt:lpstr>課税証明書</vt:lpstr>
      <vt:lpstr>補助額試算表!Print_Area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2025-05-22T04:30:05Z</dcterms:created>
  <dcterms:modified xsi:type="dcterms:W3CDTF">2025-05-22T04:30:42Z</dcterms:modified>
</cp:coreProperties>
</file>