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V:\農業支援課\課ホームページ\資金\近代化のページ\R040729～\10_その他\"/>
    </mc:Choice>
  </mc:AlternateContent>
  <xr:revisionPtr revIDLastSave="0" documentId="13_ncr:1_{D9A20934-EC24-4B5C-8937-8DFAEA82B6AE}" xr6:coauthVersionLast="36" xr6:coauthVersionMax="36" xr10:uidLastSave="{00000000-0000-0000-0000-000000000000}"/>
  <bookViews>
    <workbookView xWindow="5985" yWindow="3675" windowWidth="5970" windowHeight="6180" tabRatio="629" xr2:uid="{00000000-000D-0000-FFFF-FFFF00000000}"/>
  </bookViews>
  <sheets>
    <sheet name="【入力ｼｰﾄ】支援課提出用" sheetId="10" r:id="rId1"/>
    <sheet name="ｾﾝﾀｰ控" sheetId="16" r:id="rId2"/>
    <sheet name="市町村控" sheetId="17" r:id="rId3"/>
    <sheet name="融資機関控" sheetId="18" r:id="rId4"/>
    <sheet name="ｺｰﾄﾞ表" sheetId="14" r:id="rId5"/>
    <sheet name="償還表①" sheetId="15" r:id="rId6"/>
    <sheet name="償還表②" sheetId="19" r:id="rId7"/>
    <sheet name="償還表③" sheetId="20" r:id="rId8"/>
  </sheets>
  <definedNames>
    <definedName name="_xlnm.Print_Area" localSheetId="0">【入力ｼｰﾄ】支援課提出用!$A$1:$CC$44</definedName>
    <definedName name="_xlnm.Print_Area" localSheetId="1">ｾﾝﾀｰ控!$A$1:$CC$44</definedName>
    <definedName name="_xlnm.Print_Area" localSheetId="2">市町村控!$A$1:$CC$44</definedName>
    <definedName name="_xlnm.Print_Area" localSheetId="5">償還表①!$A$1:$M$46</definedName>
    <definedName name="_xlnm.Print_Area" localSheetId="6">償還表②!$A$1:$M$46</definedName>
    <definedName name="_xlnm.Print_Area" localSheetId="7">償還表③!$A$1:$M$46</definedName>
    <definedName name="_xlnm.Print_Area" localSheetId="3">融資機関控!$A$1:$CC$44</definedName>
  </definedNames>
  <calcPr calcId="191029"/>
</workbook>
</file>

<file path=xl/calcChain.xml><?xml version="1.0" encoding="utf-8"?>
<calcChain xmlns="http://schemas.openxmlformats.org/spreadsheetml/2006/main">
  <c r="BR42" i="17" l="1"/>
  <c r="BV42" i="16"/>
  <c r="BR42" i="16"/>
  <c r="C3" i="20" l="1"/>
  <c r="CA2" i="17"/>
  <c r="BX2" i="17"/>
  <c r="BU2" i="17"/>
  <c r="BZ1" i="17"/>
  <c r="BR1" i="17"/>
  <c r="CA2" i="16"/>
  <c r="BX2" i="16"/>
  <c r="BU2" i="16"/>
  <c r="BZ1" i="16"/>
  <c r="BR1" i="16"/>
  <c r="BE5" i="16"/>
  <c r="BJ37" i="18"/>
  <c r="BN37" i="18"/>
  <c r="AD37" i="18"/>
  <c r="AB37" i="18"/>
  <c r="Y37" i="18"/>
  <c r="W37" i="18"/>
  <c r="U37" i="18"/>
  <c r="L37" i="18"/>
  <c r="G37" i="18"/>
  <c r="C37" i="18"/>
  <c r="E33" i="18"/>
  <c r="G32" i="18"/>
  <c r="E32" i="18"/>
  <c r="BJ28" i="18"/>
  <c r="BN28" i="18"/>
  <c r="AD28" i="18"/>
  <c r="AB28" i="18"/>
  <c r="Y28" i="18"/>
  <c r="W28" i="18"/>
  <c r="U28" i="18"/>
  <c r="L28" i="18"/>
  <c r="G28" i="18"/>
  <c r="C28" i="18"/>
  <c r="BE24" i="18"/>
  <c r="CA24" i="18"/>
  <c r="BY24" i="18"/>
  <c r="BW24" i="18"/>
  <c r="AY24" i="18"/>
  <c r="E24" i="18"/>
  <c r="E23" i="18"/>
  <c r="BJ19" i="18"/>
  <c r="BN19" i="18"/>
  <c r="AD19" i="18"/>
  <c r="AB19" i="18"/>
  <c r="Y19" i="18"/>
  <c r="W19" i="18"/>
  <c r="U19" i="18"/>
  <c r="L19" i="18"/>
  <c r="G19" i="18"/>
  <c r="C19" i="18"/>
  <c r="BE15" i="18"/>
  <c r="CA15" i="18"/>
  <c r="BY15" i="18"/>
  <c r="BW15" i="18"/>
  <c r="AY15" i="18"/>
  <c r="E15" i="18"/>
  <c r="G14" i="18"/>
  <c r="E14" i="18"/>
  <c r="P8" i="18"/>
  <c r="L8" i="18"/>
  <c r="I8" i="18"/>
  <c r="G8" i="18"/>
  <c r="C8" i="18"/>
  <c r="BJ37" i="17"/>
  <c r="BN37" i="17"/>
  <c r="AD37" i="17"/>
  <c r="AB37" i="17"/>
  <c r="Y37" i="17"/>
  <c r="W37" i="17"/>
  <c r="U37" i="17"/>
  <c r="L37" i="17"/>
  <c r="G37" i="17"/>
  <c r="C37" i="17"/>
  <c r="E33" i="17"/>
  <c r="G32" i="17"/>
  <c r="E32" i="17"/>
  <c r="BN28" i="17"/>
  <c r="BJ28" i="17"/>
  <c r="AD28" i="17"/>
  <c r="AB28" i="17"/>
  <c r="Y28" i="17"/>
  <c r="W28" i="17"/>
  <c r="U28" i="17"/>
  <c r="L28" i="17"/>
  <c r="G28" i="17"/>
  <c r="C28" i="17"/>
  <c r="BE24" i="17"/>
  <c r="CA24" i="17"/>
  <c r="BY24" i="17"/>
  <c r="BW24" i="17"/>
  <c r="AY24" i="17"/>
  <c r="E24" i="17"/>
  <c r="E23" i="17"/>
  <c r="BN19" i="17"/>
  <c r="BJ19" i="17"/>
  <c r="AD19" i="17"/>
  <c r="AB19" i="17"/>
  <c r="Y19" i="17"/>
  <c r="W19" i="17"/>
  <c r="U19" i="17"/>
  <c r="L19" i="17"/>
  <c r="G19" i="17"/>
  <c r="C19" i="17"/>
  <c r="CA15" i="17"/>
  <c r="BE15" i="17"/>
  <c r="BY15" i="17"/>
  <c r="BW15" i="17"/>
  <c r="AY15" i="17"/>
  <c r="E15" i="17"/>
  <c r="G14" i="17"/>
  <c r="E14" i="17"/>
  <c r="P8" i="17"/>
  <c r="L8" i="17"/>
  <c r="I8" i="17"/>
  <c r="G8" i="17"/>
  <c r="C8" i="17"/>
  <c r="BN37" i="16"/>
  <c r="BJ37" i="16"/>
  <c r="AD37" i="16"/>
  <c r="AB37" i="16"/>
  <c r="Y37" i="16"/>
  <c r="W37" i="16"/>
  <c r="U37" i="16"/>
  <c r="L37" i="16"/>
  <c r="G37" i="16"/>
  <c r="C37" i="16"/>
  <c r="E33" i="16"/>
  <c r="G32" i="16"/>
  <c r="E32" i="16"/>
  <c r="BN28" i="16"/>
  <c r="BJ28" i="16"/>
  <c r="AD28" i="16"/>
  <c r="AB28" i="16"/>
  <c r="Y28" i="16"/>
  <c r="W28" i="16"/>
  <c r="U28" i="16"/>
  <c r="L28" i="16"/>
  <c r="G28" i="16"/>
  <c r="C28" i="16"/>
  <c r="CA24" i="16"/>
  <c r="BY24" i="16"/>
  <c r="BW24" i="16"/>
  <c r="BE24" i="16"/>
  <c r="AY24" i="16"/>
  <c r="E24" i="16"/>
  <c r="G23" i="16"/>
  <c r="E23" i="16"/>
  <c r="BN19" i="16"/>
  <c r="BJ19" i="16"/>
  <c r="AD19" i="16"/>
  <c r="AB19" i="16"/>
  <c r="Y19" i="16"/>
  <c r="W19" i="16"/>
  <c r="U19" i="16"/>
  <c r="L19" i="16"/>
  <c r="G19" i="16"/>
  <c r="C19" i="16"/>
  <c r="CA15" i="16"/>
  <c r="BY15" i="16"/>
  <c r="BW15" i="16"/>
  <c r="BE15" i="16"/>
  <c r="AY15" i="16"/>
  <c r="P8" i="16"/>
  <c r="L8" i="16"/>
  <c r="I8" i="16"/>
  <c r="G8" i="16"/>
  <c r="C8" i="16"/>
  <c r="E15" i="16"/>
  <c r="E14" i="16"/>
  <c r="G14" i="16"/>
  <c r="C4" i="20"/>
  <c r="C45" i="20" s="1"/>
  <c r="C4" i="19"/>
  <c r="C4" i="15"/>
  <c r="G1" i="19"/>
  <c r="G1" i="20"/>
  <c r="L6" i="20"/>
  <c r="L7" i="20" s="1"/>
  <c r="K6" i="20"/>
  <c r="K7" i="20" s="1"/>
  <c r="J6" i="20"/>
  <c r="J7" i="20" s="1"/>
  <c r="I6" i="20"/>
  <c r="I7" i="20" s="1"/>
  <c r="H6" i="20"/>
  <c r="H7" i="20" s="1"/>
  <c r="G6" i="20"/>
  <c r="G7" i="20" s="1"/>
  <c r="F6" i="20"/>
  <c r="F7" i="20" s="1"/>
  <c r="E6" i="20"/>
  <c r="C2" i="20"/>
  <c r="C1" i="20"/>
  <c r="L6" i="19"/>
  <c r="L7" i="19" s="1"/>
  <c r="K6" i="19"/>
  <c r="K7" i="19" s="1"/>
  <c r="J6" i="19"/>
  <c r="J7" i="19" s="1"/>
  <c r="J8" i="19" s="1"/>
  <c r="K8" i="19" s="1"/>
  <c r="I6" i="19"/>
  <c r="I7" i="19" s="1"/>
  <c r="H6" i="19"/>
  <c r="H7" i="19" s="1"/>
  <c r="G6" i="19"/>
  <c r="G7" i="19" s="1"/>
  <c r="F6" i="19"/>
  <c r="F7" i="19" s="1"/>
  <c r="E6" i="19"/>
  <c r="E7" i="19" s="1"/>
  <c r="C3" i="19"/>
  <c r="C2" i="19"/>
  <c r="G1" i="15"/>
  <c r="C1" i="19"/>
  <c r="CO15" i="10"/>
  <c r="BQ15" i="10" s="1"/>
  <c r="BK15" i="10" s="1"/>
  <c r="CO33" i="10"/>
  <c r="BQ33" i="10" s="1"/>
  <c r="BK33" i="10" s="1"/>
  <c r="CO24" i="10"/>
  <c r="Q37" i="18"/>
  <c r="Q28" i="18"/>
  <c r="Q19" i="16"/>
  <c r="CA33" i="18"/>
  <c r="BY33" i="18"/>
  <c r="BW33" i="18"/>
  <c r="BE33" i="18"/>
  <c r="AY33" i="18"/>
  <c r="CA33" i="17"/>
  <c r="BY33" i="17"/>
  <c r="BW33" i="17"/>
  <c r="BE33" i="17"/>
  <c r="AY33" i="17"/>
  <c r="CA33" i="16"/>
  <c r="BY33" i="16"/>
  <c r="BW33" i="16"/>
  <c r="BE33" i="16"/>
  <c r="AY33" i="16"/>
  <c r="G23" i="18"/>
  <c r="G23" i="17"/>
  <c r="BE9" i="17"/>
  <c r="BE7" i="17"/>
  <c r="BE5" i="17"/>
  <c r="AX33" i="18"/>
  <c r="AW33" i="18"/>
  <c r="AV33" i="18"/>
  <c r="AU33" i="18"/>
  <c r="AT33" i="18"/>
  <c r="AS33" i="18"/>
  <c r="AR33" i="18"/>
  <c r="AQ33" i="18"/>
  <c r="AX24" i="18"/>
  <c r="AW24" i="18"/>
  <c r="AV24" i="18"/>
  <c r="AU24" i="18"/>
  <c r="AT24" i="18"/>
  <c r="AS24" i="18"/>
  <c r="AR24" i="18"/>
  <c r="AQ24" i="18"/>
  <c r="AX15" i="18"/>
  <c r="AW15" i="18"/>
  <c r="AV15" i="18"/>
  <c r="AU15" i="18"/>
  <c r="AT15" i="18"/>
  <c r="AS15" i="18"/>
  <c r="AR15" i="18"/>
  <c r="AQ15" i="18"/>
  <c r="AX33" i="17"/>
  <c r="AW33" i="17"/>
  <c r="AV33" i="17"/>
  <c r="AU33" i="17"/>
  <c r="AT33" i="17"/>
  <c r="AS33" i="17"/>
  <c r="AR33" i="17"/>
  <c r="AQ33" i="17"/>
  <c r="AX24" i="17"/>
  <c r="AW24" i="17"/>
  <c r="AV24" i="17"/>
  <c r="AU24" i="17"/>
  <c r="AT24" i="17"/>
  <c r="AS24" i="17"/>
  <c r="AR24" i="17"/>
  <c r="AQ24" i="17"/>
  <c r="AX15" i="17"/>
  <c r="AW15" i="17"/>
  <c r="AV15" i="17"/>
  <c r="AU15" i="17"/>
  <c r="AT15" i="17"/>
  <c r="AS15" i="17"/>
  <c r="AR15" i="17"/>
  <c r="AQ15" i="17"/>
  <c r="BE9" i="16"/>
  <c r="BE7" i="16"/>
  <c r="AR33" i="16"/>
  <c r="AS33" i="16"/>
  <c r="AT33" i="16"/>
  <c r="AU33" i="16"/>
  <c r="AV33" i="16"/>
  <c r="AW33" i="16"/>
  <c r="AX33" i="16"/>
  <c r="AQ33" i="16"/>
  <c r="AR24" i="16"/>
  <c r="AS24" i="16"/>
  <c r="AT24" i="16"/>
  <c r="AU24" i="16"/>
  <c r="AV24" i="16"/>
  <c r="AW24" i="16"/>
  <c r="AX24" i="16"/>
  <c r="AQ24" i="16"/>
  <c r="AX15" i="16"/>
  <c r="AW15" i="16"/>
  <c r="AV15" i="16"/>
  <c r="AU15" i="16"/>
  <c r="AT15" i="16"/>
  <c r="AS15" i="16"/>
  <c r="AR15" i="16"/>
  <c r="AQ15" i="16"/>
  <c r="J6" i="15"/>
  <c r="J7" i="15" s="1"/>
  <c r="K6" i="15"/>
  <c r="K7" i="15" s="1"/>
  <c r="L6" i="15"/>
  <c r="L7" i="15" s="1"/>
  <c r="I6" i="15"/>
  <c r="I7" i="15" s="1"/>
  <c r="F6" i="15"/>
  <c r="F7" i="15" s="1"/>
  <c r="G6" i="15"/>
  <c r="G7" i="15" s="1"/>
  <c r="H6" i="15"/>
  <c r="H7" i="15" s="1"/>
  <c r="E6" i="15"/>
  <c r="C2" i="15"/>
  <c r="C3" i="15"/>
  <c r="C1" i="15"/>
  <c r="BQ24" i="10" l="1"/>
  <c r="BK24" i="10" s="1"/>
  <c r="K20" i="15"/>
  <c r="C46" i="19"/>
  <c r="K23" i="20"/>
  <c r="G12" i="20"/>
  <c r="K21" i="20"/>
  <c r="C31" i="20"/>
  <c r="C44" i="20"/>
  <c r="K14" i="20"/>
  <c r="H15" i="20"/>
  <c r="B46" i="20"/>
  <c r="K18" i="20"/>
  <c r="C33" i="20"/>
  <c r="B43" i="20"/>
  <c r="K20" i="20"/>
  <c r="H23" i="20"/>
  <c r="H28" i="20"/>
  <c r="M12" i="20"/>
  <c r="M13" i="20" s="1"/>
  <c r="M14" i="20" s="1"/>
  <c r="G14" i="20"/>
  <c r="K16" i="20"/>
  <c r="G36" i="20"/>
  <c r="D12" i="20"/>
  <c r="G30" i="20"/>
  <c r="K27" i="20"/>
  <c r="K25" i="20"/>
  <c r="K13" i="20"/>
  <c r="K15" i="20"/>
  <c r="H40" i="20"/>
  <c r="C34" i="20"/>
  <c r="C12" i="20"/>
  <c r="C40" i="20"/>
  <c r="C42" i="20"/>
  <c r="B13" i="20"/>
  <c r="B24" i="20"/>
  <c r="K26" i="20"/>
  <c r="K22" i="20"/>
  <c r="K17" i="20"/>
  <c r="K12" i="20"/>
  <c r="H16" i="20"/>
  <c r="L12" i="20"/>
  <c r="C38" i="20"/>
  <c r="B38" i="20"/>
  <c r="C43" i="20"/>
  <c r="L16" i="20"/>
  <c r="H41" i="20"/>
  <c r="H27" i="19"/>
  <c r="L34" i="19"/>
  <c r="C45" i="19"/>
  <c r="C37" i="19"/>
  <c r="C42" i="19"/>
  <c r="H13" i="19"/>
  <c r="K29" i="19"/>
  <c r="L17" i="19"/>
  <c r="H17" i="19"/>
  <c r="G27" i="19"/>
  <c r="G16" i="19"/>
  <c r="B41" i="15"/>
  <c r="K24" i="15"/>
  <c r="C8" i="15"/>
  <c r="C7" i="15" s="1"/>
  <c r="B27" i="15"/>
  <c r="K12" i="15"/>
  <c r="K29" i="15"/>
  <c r="B39" i="15"/>
  <c r="L17" i="15"/>
  <c r="G30" i="15"/>
  <c r="I12" i="15"/>
  <c r="B15" i="15"/>
  <c r="G18" i="15"/>
  <c r="G37" i="15"/>
  <c r="B42" i="15"/>
  <c r="B38" i="15"/>
  <c r="H40" i="15"/>
  <c r="G40" i="15"/>
  <c r="G16" i="15"/>
  <c r="B26" i="15"/>
  <c r="B44" i="15"/>
  <c r="G36" i="15"/>
  <c r="B12" i="15"/>
  <c r="K21" i="15"/>
  <c r="L25" i="15"/>
  <c r="C33" i="15"/>
  <c r="L42" i="15"/>
  <c r="G32" i="15"/>
  <c r="C14" i="15"/>
  <c r="H27" i="15"/>
  <c r="G41" i="15"/>
  <c r="G19" i="15"/>
  <c r="K14" i="15"/>
  <c r="L33" i="15"/>
  <c r="L21" i="15"/>
  <c r="G33" i="15"/>
  <c r="H37" i="15"/>
  <c r="G42" i="15"/>
  <c r="G35" i="15"/>
  <c r="C32" i="20"/>
  <c r="L13" i="20"/>
  <c r="H14" i="20"/>
  <c r="B12" i="20"/>
  <c r="H31" i="20"/>
  <c r="G17" i="20"/>
  <c r="B17" i="20"/>
  <c r="L39" i="20"/>
  <c r="C13" i="20"/>
  <c r="C39" i="20"/>
  <c r="I12" i="20"/>
  <c r="H18" i="20"/>
  <c r="C46" i="20"/>
  <c r="L26" i="20"/>
  <c r="G13" i="20"/>
  <c r="L17" i="20"/>
  <c r="B15" i="20"/>
  <c r="H17" i="20"/>
  <c r="G37" i="20"/>
  <c r="C41" i="20"/>
  <c r="L14" i="20"/>
  <c r="K30" i="20"/>
  <c r="G19" i="20"/>
  <c r="G16" i="20"/>
  <c r="L37" i="20"/>
  <c r="B14" i="20"/>
  <c r="C14" i="20"/>
  <c r="C37" i="20"/>
  <c r="H12" i="20"/>
  <c r="K38" i="20"/>
  <c r="H13" i="20"/>
  <c r="G15" i="20"/>
  <c r="G18" i="20"/>
  <c r="L15" i="20"/>
  <c r="B23" i="20"/>
  <c r="L40" i="20"/>
  <c r="K35" i="20"/>
  <c r="K40" i="20"/>
  <c r="K42" i="20"/>
  <c r="C13" i="19"/>
  <c r="B38" i="19"/>
  <c r="K38" i="19"/>
  <c r="G18" i="19"/>
  <c r="K19" i="19"/>
  <c r="C33" i="19"/>
  <c r="K22" i="19"/>
  <c r="G30" i="19"/>
  <c r="G14" i="19"/>
  <c r="K31" i="19"/>
  <c r="C31" i="19"/>
  <c r="C34" i="19"/>
  <c r="C14" i="19"/>
  <c r="L27" i="19"/>
  <c r="H39" i="19"/>
  <c r="B20" i="19"/>
  <c r="G15" i="19"/>
  <c r="L16" i="19"/>
  <c r="I12" i="19"/>
  <c r="I13" i="19" s="1"/>
  <c r="C38" i="19"/>
  <c r="D31" i="19"/>
  <c r="D32" i="19" s="1"/>
  <c r="C44" i="19"/>
  <c r="B13" i="19"/>
  <c r="B12" i="19"/>
  <c r="B37" i="19"/>
  <c r="H25" i="19"/>
  <c r="G34" i="19"/>
  <c r="G28" i="19"/>
  <c r="G13" i="19"/>
  <c r="M12" i="19"/>
  <c r="M13" i="19" s="1"/>
  <c r="M14" i="19" s="1"/>
  <c r="C43" i="19"/>
  <c r="C39" i="19"/>
  <c r="C41" i="19"/>
  <c r="B14" i="19"/>
  <c r="L31" i="19"/>
  <c r="H36" i="19"/>
  <c r="G31" i="19"/>
  <c r="G37" i="19"/>
  <c r="G17" i="19"/>
  <c r="K14" i="19"/>
  <c r="K15" i="19"/>
  <c r="H12" i="19"/>
  <c r="Q37" i="16"/>
  <c r="Q37" i="17"/>
  <c r="Q19" i="17"/>
  <c r="C37" i="15"/>
  <c r="C43" i="15"/>
  <c r="B45" i="15"/>
  <c r="B40" i="15"/>
  <c r="B37" i="15"/>
  <c r="C34" i="15"/>
  <c r="C41" i="15"/>
  <c r="H30" i="15"/>
  <c r="H28" i="15"/>
  <c r="C45" i="15"/>
  <c r="H25" i="15"/>
  <c r="G15" i="15"/>
  <c r="L30" i="15"/>
  <c r="K35" i="15"/>
  <c r="L36" i="15"/>
  <c r="B13" i="15"/>
  <c r="G22" i="15"/>
  <c r="H20" i="15"/>
  <c r="H23" i="15"/>
  <c r="H26" i="15"/>
  <c r="B20" i="15"/>
  <c r="C12" i="15"/>
  <c r="C32" i="15"/>
  <c r="H36" i="15"/>
  <c r="L19" i="15"/>
  <c r="K15" i="15"/>
  <c r="C40" i="15"/>
  <c r="L13" i="15"/>
  <c r="B24" i="15"/>
  <c r="B23" i="15"/>
  <c r="B43" i="15"/>
  <c r="B46" i="15"/>
  <c r="G27" i="15"/>
  <c r="H34" i="15"/>
  <c r="L41" i="15"/>
  <c r="H39" i="15"/>
  <c r="H24" i="15"/>
  <c r="G17" i="15"/>
  <c r="K28" i="15"/>
  <c r="K36" i="15"/>
  <c r="L27" i="15"/>
  <c r="B17" i="15"/>
  <c r="G26" i="15"/>
  <c r="H21" i="15"/>
  <c r="K42" i="15"/>
  <c r="G34" i="15"/>
  <c r="D12" i="15"/>
  <c r="H41" i="15"/>
  <c r="C38" i="15"/>
  <c r="L12" i="15"/>
  <c r="L39" i="15"/>
  <c r="L24" i="15"/>
  <c r="J8" i="15"/>
  <c r="K8" i="15" s="1"/>
  <c r="L8" i="20"/>
  <c r="K24" i="20"/>
  <c r="K28" i="20"/>
  <c r="K19" i="20"/>
  <c r="L38" i="20"/>
  <c r="B41" i="20"/>
  <c r="K39" i="20"/>
  <c r="B26" i="20"/>
  <c r="H22" i="20"/>
  <c r="H20" i="20"/>
  <c r="L35" i="20"/>
  <c r="L28" i="20"/>
  <c r="B18" i="20"/>
  <c r="B20" i="20"/>
  <c r="H25" i="20"/>
  <c r="B44" i="20"/>
  <c r="K32" i="20"/>
  <c r="L25" i="20"/>
  <c r="K33" i="15"/>
  <c r="G26" i="20"/>
  <c r="B39" i="20"/>
  <c r="G34" i="20"/>
  <c r="G33" i="20"/>
  <c r="H32" i="20"/>
  <c r="Q19" i="18"/>
  <c r="G28" i="20"/>
  <c r="G27" i="20"/>
  <c r="H29" i="20"/>
  <c r="K36" i="20"/>
  <c r="K37" i="20"/>
  <c r="C40" i="19"/>
  <c r="K12" i="19"/>
  <c r="B16" i="20"/>
  <c r="K41" i="19"/>
  <c r="H8" i="20"/>
  <c r="K33" i="20"/>
  <c r="B21" i="20"/>
  <c r="H27" i="20"/>
  <c r="H19" i="20"/>
  <c r="H26" i="20"/>
  <c r="H34" i="20"/>
  <c r="L36" i="20"/>
  <c r="G32" i="20"/>
  <c r="G24" i="20"/>
  <c r="H36" i="20"/>
  <c r="B45" i="20"/>
  <c r="L42" i="20"/>
  <c r="G38" i="20"/>
  <c r="L23" i="20"/>
  <c r="L24" i="20"/>
  <c r="K41" i="20"/>
  <c r="B42" i="20"/>
  <c r="H39" i="20"/>
  <c r="H38" i="20"/>
  <c r="B25" i="20"/>
  <c r="Q28" i="16"/>
  <c r="G20" i="20"/>
  <c r="G25" i="20"/>
  <c r="H37" i="20"/>
  <c r="C5" i="20"/>
  <c r="K31" i="20"/>
  <c r="G35" i="20"/>
  <c r="L32" i="20"/>
  <c r="Q28" i="17"/>
  <c r="K34" i="20"/>
  <c r="G29" i="20"/>
  <c r="L33" i="20"/>
  <c r="H21" i="20"/>
  <c r="H24" i="20"/>
  <c r="G40" i="20"/>
  <c r="H42" i="20"/>
  <c r="G31" i="20"/>
  <c r="H35" i="20"/>
  <c r="B19" i="20"/>
  <c r="G39" i="20"/>
  <c r="G23" i="20"/>
  <c r="B37" i="20"/>
  <c r="H33" i="20"/>
  <c r="L27" i="20"/>
  <c r="L30" i="20"/>
  <c r="H30" i="20"/>
  <c r="G42" i="20"/>
  <c r="G41" i="20"/>
  <c r="L22" i="20"/>
  <c r="L18" i="20"/>
  <c r="G21" i="20"/>
  <c r="G22" i="20"/>
  <c r="B40" i="20"/>
  <c r="L31" i="20"/>
  <c r="C8" i="20"/>
  <c r="C7" i="20" s="1"/>
  <c r="C35" i="20" s="1"/>
  <c r="L34" i="20"/>
  <c r="L41" i="20"/>
  <c r="B27" i="20"/>
  <c r="L29" i="20"/>
  <c r="B22" i="20"/>
  <c r="BK15" i="16"/>
  <c r="BK15" i="17"/>
  <c r="L8" i="15"/>
  <c r="B19" i="19"/>
  <c r="B17" i="19"/>
  <c r="C8" i="19"/>
  <c r="C7" i="19" s="1"/>
  <c r="C35" i="19" s="1"/>
  <c r="K37" i="19"/>
  <c r="L39" i="19"/>
  <c r="H34" i="19"/>
  <c r="B45" i="19"/>
  <c r="K20" i="19"/>
  <c r="H40" i="19"/>
  <c r="H19" i="19"/>
  <c r="K40" i="19"/>
  <c r="H18" i="19"/>
  <c r="L37" i="19"/>
  <c r="K26" i="19"/>
  <c r="K21" i="19"/>
  <c r="G36" i="19"/>
  <c r="G24" i="19"/>
  <c r="G35" i="19"/>
  <c r="G42" i="19"/>
  <c r="G39" i="19"/>
  <c r="G32" i="19"/>
  <c r="K25" i="19"/>
  <c r="B25" i="19"/>
  <c r="H20" i="19"/>
  <c r="H37" i="19"/>
  <c r="B24" i="19"/>
  <c r="J8" i="20"/>
  <c r="K8" i="20" s="1"/>
  <c r="J9" i="20" s="1"/>
  <c r="BQ15" i="17"/>
  <c r="B16" i="19"/>
  <c r="B18" i="19"/>
  <c r="B23" i="19"/>
  <c r="B43" i="19"/>
  <c r="B42" i="19"/>
  <c r="L35" i="19"/>
  <c r="B40" i="19"/>
  <c r="C5" i="19"/>
  <c r="H28" i="19"/>
  <c r="L25" i="19"/>
  <c r="H33" i="19"/>
  <c r="H21" i="19"/>
  <c r="L26" i="19"/>
  <c r="L30" i="19"/>
  <c r="K24" i="19"/>
  <c r="G41" i="19"/>
  <c r="G25" i="19"/>
  <c r="G21" i="19"/>
  <c r="G22" i="19"/>
  <c r="G23" i="19"/>
  <c r="L28" i="19"/>
  <c r="L40" i="19"/>
  <c r="K39" i="19"/>
  <c r="L33" i="19"/>
  <c r="B15" i="19"/>
  <c r="B22" i="19"/>
  <c r="L38" i="19"/>
  <c r="K27" i="19"/>
  <c r="K42" i="19"/>
  <c r="L18" i="19"/>
  <c r="K23" i="19"/>
  <c r="H31" i="19"/>
  <c r="L36" i="19"/>
  <c r="H29" i="19"/>
  <c r="H35" i="19"/>
  <c r="L32" i="19"/>
  <c r="G38" i="19"/>
  <c r="G20" i="19"/>
  <c r="G26" i="19"/>
  <c r="G19" i="19"/>
  <c r="G29" i="19"/>
  <c r="G33" i="19"/>
  <c r="G40" i="19"/>
  <c r="B46" i="19"/>
  <c r="BQ33" i="17"/>
  <c r="BQ33" i="16"/>
  <c r="BQ33" i="18"/>
  <c r="H23" i="19"/>
  <c r="H24" i="19"/>
  <c r="C12" i="19"/>
  <c r="H38" i="19"/>
  <c r="L12" i="19"/>
  <c r="B21" i="19"/>
  <c r="L15" i="19"/>
  <c r="K30" i="19"/>
  <c r="B39" i="19"/>
  <c r="L29" i="19"/>
  <c r="G12" i="19"/>
  <c r="H26" i="19"/>
  <c r="H14" i="19"/>
  <c r="H42" i="19"/>
  <c r="K33" i="19"/>
  <c r="H22" i="19"/>
  <c r="H41" i="19"/>
  <c r="K13" i="19"/>
  <c r="L24" i="19"/>
  <c r="K16" i="19"/>
  <c r="K36" i="19"/>
  <c r="K28" i="19"/>
  <c r="L42" i="19"/>
  <c r="L23" i="19"/>
  <c r="H8" i="15"/>
  <c r="B44" i="19"/>
  <c r="K17" i="19"/>
  <c r="BK15" i="18"/>
  <c r="H15" i="19"/>
  <c r="H16" i="19"/>
  <c r="H30" i="19"/>
  <c r="H32" i="19"/>
  <c r="L14" i="19"/>
  <c r="D12" i="19"/>
  <c r="B41" i="19"/>
  <c r="K35" i="19"/>
  <c r="K18" i="19"/>
  <c r="H8" i="19"/>
  <c r="E7" i="15"/>
  <c r="N6" i="15"/>
  <c r="C6" i="15" s="1"/>
  <c r="B31" i="15" s="1"/>
  <c r="H42" i="15"/>
  <c r="G13" i="15"/>
  <c r="L37" i="15"/>
  <c r="K38" i="15"/>
  <c r="K37" i="15"/>
  <c r="L34" i="15"/>
  <c r="H13" i="15"/>
  <c r="I13" i="15" s="1"/>
  <c r="L14" i="15"/>
  <c r="C35" i="15"/>
  <c r="C31" i="15"/>
  <c r="C44" i="15"/>
  <c r="D31" i="15"/>
  <c r="D32" i="15" s="1"/>
  <c r="C39" i="15"/>
  <c r="H33" i="15"/>
  <c r="H32" i="15"/>
  <c r="L16" i="15"/>
  <c r="L31" i="15"/>
  <c r="M12" i="15"/>
  <c r="M13" i="15" s="1"/>
  <c r="M14" i="15" s="1"/>
  <c r="G39" i="15"/>
  <c r="H38" i="15"/>
  <c r="L26" i="15"/>
  <c r="H17" i="15"/>
  <c r="C13" i="15"/>
  <c r="G25" i="15"/>
  <c r="B18" i="15"/>
  <c r="C5" i="15"/>
  <c r="L28" i="15"/>
  <c r="K30" i="15"/>
  <c r="K18" i="15"/>
  <c r="K39" i="15"/>
  <c r="K23" i="15"/>
  <c r="L38" i="15"/>
  <c r="G31" i="15"/>
  <c r="L22" i="15"/>
  <c r="G20" i="15"/>
  <c r="K27" i="15"/>
  <c r="K32" i="15"/>
  <c r="L32" i="15"/>
  <c r="K25" i="15"/>
  <c r="K26" i="15"/>
  <c r="B14" i="15"/>
  <c r="H18" i="15"/>
  <c r="B21" i="15"/>
  <c r="L35" i="15"/>
  <c r="H35" i="15"/>
  <c r="B25" i="15"/>
  <c r="H12" i="15"/>
  <c r="H29" i="15"/>
  <c r="L15" i="15"/>
  <c r="K41" i="15"/>
  <c r="G28" i="15"/>
  <c r="C46" i="15"/>
  <c r="G12" i="15"/>
  <c r="H19" i="15"/>
  <c r="H22" i="15"/>
  <c r="G14" i="15"/>
  <c r="G24" i="15"/>
  <c r="B16" i="15"/>
  <c r="L29" i="15"/>
  <c r="L40" i="15"/>
  <c r="K34" i="15"/>
  <c r="K16" i="15"/>
  <c r="K31" i="15"/>
  <c r="K19" i="15"/>
  <c r="L20" i="15"/>
  <c r="G23" i="15"/>
  <c r="H14" i="15"/>
  <c r="G38" i="15"/>
  <c r="H16" i="15"/>
  <c r="G29" i="15"/>
  <c r="C42" i="15"/>
  <c r="B22" i="15"/>
  <c r="L23" i="15"/>
  <c r="H15" i="15"/>
  <c r="B19" i="15"/>
  <c r="K17" i="15"/>
  <c r="K22" i="15"/>
  <c r="H31" i="15"/>
  <c r="K13" i="15"/>
  <c r="K40" i="15"/>
  <c r="G21" i="15"/>
  <c r="L18" i="15"/>
  <c r="BQ24" i="18"/>
  <c r="BQ24" i="17"/>
  <c r="E7" i="20"/>
  <c r="B34" i="20" s="1"/>
  <c r="N6" i="20"/>
  <c r="C6" i="20" s="1"/>
  <c r="B31" i="20" s="1"/>
  <c r="L8" i="19"/>
  <c r="J9" i="19" s="1"/>
  <c r="B34" i="19" s="1"/>
  <c r="N6" i="19"/>
  <c r="C6" i="19" s="1"/>
  <c r="B31" i="19" s="1"/>
  <c r="BQ15" i="16"/>
  <c r="BQ15" i="18"/>
  <c r="L41" i="19"/>
  <c r="K32" i="19"/>
  <c r="B27" i="19"/>
  <c r="K34" i="19"/>
  <c r="C32" i="19"/>
  <c r="B26" i="19"/>
  <c r="K29" i="20"/>
  <c r="D31" i="20"/>
  <c r="D32" i="20" s="1"/>
  <c r="L13" i="19"/>
  <c r="BQ24" i="16" l="1"/>
  <c r="B33" i="19"/>
  <c r="B36" i="19"/>
  <c r="B32" i="19"/>
  <c r="B32" i="20"/>
  <c r="B33" i="20"/>
  <c r="B35" i="19"/>
  <c r="B36" i="20"/>
  <c r="B35" i="20"/>
  <c r="C36" i="15"/>
  <c r="L19" i="19"/>
  <c r="L21" i="19"/>
  <c r="L20" i="19"/>
  <c r="L22" i="19"/>
  <c r="D33" i="20"/>
  <c r="D34" i="20" s="1"/>
  <c r="D35" i="20" s="1"/>
  <c r="L20" i="20"/>
  <c r="L21" i="20"/>
  <c r="D13" i="20"/>
  <c r="D14" i="20" s="1"/>
  <c r="C15" i="20" s="1"/>
  <c r="D15" i="20" s="1"/>
  <c r="C16" i="20" s="1"/>
  <c r="D16" i="20" s="1"/>
  <c r="L19" i="20"/>
  <c r="M15" i="20"/>
  <c r="M16" i="20" s="1"/>
  <c r="M17" i="20" s="1"/>
  <c r="M18" i="20" s="1"/>
  <c r="I13" i="20"/>
  <c r="I14" i="20" s="1"/>
  <c r="I15" i="20" s="1"/>
  <c r="I16" i="20" s="1"/>
  <c r="I17" i="20" s="1"/>
  <c r="I18" i="20" s="1"/>
  <c r="I19" i="20" s="1"/>
  <c r="I20" i="20" s="1"/>
  <c r="I21" i="20" s="1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I34" i="20" s="1"/>
  <c r="I35" i="20" s="1"/>
  <c r="I36" i="20" s="1"/>
  <c r="I37" i="20" s="1"/>
  <c r="I38" i="20" s="1"/>
  <c r="I39" i="20" s="1"/>
  <c r="I40" i="20" s="1"/>
  <c r="I41" i="20" s="1"/>
  <c r="I42" i="20" s="1"/>
  <c r="I14" i="19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D33" i="19"/>
  <c r="D34" i="19" s="1"/>
  <c r="D35" i="19" s="1"/>
  <c r="D13" i="19"/>
  <c r="D14" i="19" s="1"/>
  <c r="C15" i="19" s="1"/>
  <c r="D15" i="19" s="1"/>
  <c r="M15" i="19"/>
  <c r="M16" i="19" s="1"/>
  <c r="M17" i="19" s="1"/>
  <c r="M18" i="19" s="1"/>
  <c r="M19" i="19" s="1"/>
  <c r="M20" i="19" s="1"/>
  <c r="M21" i="19" s="1"/>
  <c r="M22" i="19" s="1"/>
  <c r="M23" i="19" s="1"/>
  <c r="M24" i="19" s="1"/>
  <c r="M25" i="19" s="1"/>
  <c r="M26" i="19" s="1"/>
  <c r="M27" i="19" s="1"/>
  <c r="M28" i="19" s="1"/>
  <c r="M29" i="19" s="1"/>
  <c r="M30" i="19" s="1"/>
  <c r="M31" i="19" s="1"/>
  <c r="M32" i="19" s="1"/>
  <c r="M33" i="19" s="1"/>
  <c r="M34" i="19" s="1"/>
  <c r="M35" i="19" s="1"/>
  <c r="M36" i="19" s="1"/>
  <c r="M37" i="19" s="1"/>
  <c r="M38" i="19" s="1"/>
  <c r="M39" i="19" s="1"/>
  <c r="M40" i="19" s="1"/>
  <c r="M41" i="19" s="1"/>
  <c r="M42" i="19" s="1"/>
  <c r="D33" i="15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C36" i="20"/>
  <c r="C36" i="19"/>
  <c r="D13" i="15"/>
  <c r="D14" i="15" s="1"/>
  <c r="C15" i="15" s="1"/>
  <c r="D15" i="15" s="1"/>
  <c r="J9" i="15"/>
  <c r="B32" i="15" s="1"/>
  <c r="I14" i="15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BK33" i="17"/>
  <c r="BK33" i="18"/>
  <c r="BK33" i="16"/>
  <c r="M15" i="15"/>
  <c r="M16" i="15" s="1"/>
  <c r="M17" i="15" s="1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38" i="15" s="1"/>
  <c r="M39" i="15" s="1"/>
  <c r="M40" i="15" s="1"/>
  <c r="M41" i="15" s="1"/>
  <c r="M42" i="15" s="1"/>
  <c r="BK24" i="18"/>
  <c r="BK24" i="16"/>
  <c r="BK24" i="17"/>
  <c r="B36" i="15" l="1"/>
  <c r="B34" i="15"/>
  <c r="B35" i="15"/>
  <c r="B33" i="15"/>
  <c r="M19" i="20"/>
  <c r="M20" i="20" s="1"/>
  <c r="M21" i="20" s="1"/>
  <c r="M22" i="20" s="1"/>
  <c r="M23" i="20" s="1"/>
  <c r="M24" i="20" s="1"/>
  <c r="M25" i="20" s="1"/>
  <c r="M26" i="20" s="1"/>
  <c r="M27" i="20" s="1"/>
  <c r="M28" i="20" s="1"/>
  <c r="M29" i="20" s="1"/>
  <c r="M30" i="20" s="1"/>
  <c r="M31" i="20" s="1"/>
  <c r="M32" i="20" s="1"/>
  <c r="M33" i="20" s="1"/>
  <c r="M34" i="20" s="1"/>
  <c r="M35" i="20" s="1"/>
  <c r="M36" i="20" s="1"/>
  <c r="M37" i="20" s="1"/>
  <c r="M38" i="20" s="1"/>
  <c r="M39" i="20" s="1"/>
  <c r="M40" i="20" s="1"/>
  <c r="M41" i="20" s="1"/>
  <c r="M42" i="20" s="1"/>
  <c r="D36" i="20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36" i="19"/>
  <c r="D37" i="19" s="1"/>
  <c r="D38" i="19" s="1"/>
  <c r="D39" i="19" s="1"/>
  <c r="D40" i="19" s="1"/>
  <c r="D41" i="19" s="1"/>
  <c r="D42" i="19" s="1"/>
  <c r="D43" i="19" s="1"/>
  <c r="D44" i="19" s="1"/>
  <c r="D45" i="19" s="1"/>
  <c r="D46" i="19" s="1"/>
  <c r="C16" i="19"/>
  <c r="D16" i="19" s="1"/>
  <c r="C17" i="19" s="1"/>
  <c r="D17" i="19" s="1"/>
  <c r="C16" i="15"/>
  <c r="D16" i="15" s="1"/>
  <c r="C17" i="20"/>
  <c r="D17" i="20" s="1"/>
  <c r="C18" i="19" l="1"/>
  <c r="D18" i="19" s="1"/>
  <c r="C18" i="20"/>
  <c r="D18" i="20" s="1"/>
  <c r="C17" i="15"/>
  <c r="D17" i="15" s="1"/>
  <c r="C18" i="15" l="1"/>
  <c r="D18" i="15" s="1"/>
  <c r="C19" i="20"/>
  <c r="D19" i="20" s="1"/>
  <c r="C19" i="19"/>
  <c r="D19" i="19" s="1"/>
  <c r="C20" i="19" l="1"/>
  <c r="D20" i="19" s="1"/>
  <c r="C19" i="15"/>
  <c r="D19" i="15" s="1"/>
  <c r="C20" i="20"/>
  <c r="D20" i="20" s="1"/>
  <c r="C21" i="20" l="1"/>
  <c r="D21" i="20" s="1"/>
  <c r="C21" i="19"/>
  <c r="D21" i="19" s="1"/>
  <c r="C20" i="15"/>
  <c r="D20" i="15" s="1"/>
  <c r="C22" i="19" l="1"/>
  <c r="D22" i="19" s="1"/>
  <c r="C22" i="20"/>
  <c r="D22" i="20" s="1"/>
  <c r="C21" i="15"/>
  <c r="D21" i="15" s="1"/>
  <c r="C23" i="20" l="1"/>
  <c r="D23" i="20" s="1"/>
  <c r="C23" i="19"/>
  <c r="D23" i="19" s="1"/>
  <c r="C22" i="15"/>
  <c r="D22" i="15" s="1"/>
  <c r="C24" i="20" l="1"/>
  <c r="D24" i="20" s="1"/>
  <c r="C24" i="19"/>
  <c r="D24" i="19" s="1"/>
  <c r="C23" i="15"/>
  <c r="D23" i="15" s="1"/>
  <c r="C24" i="15" l="1"/>
  <c r="D24" i="15" s="1"/>
  <c r="C25" i="19"/>
  <c r="D25" i="19" s="1"/>
  <c r="C25" i="20"/>
  <c r="D25" i="20" s="1"/>
  <c r="C26" i="20" l="1"/>
  <c r="D26" i="20" s="1"/>
  <c r="C26" i="19"/>
  <c r="D26" i="19" s="1"/>
  <c r="C25" i="15"/>
  <c r="D25" i="15" s="1"/>
  <c r="C26" i="15" l="1"/>
  <c r="D26" i="15" s="1"/>
  <c r="C27" i="20"/>
  <c r="D27" i="20" s="1"/>
  <c r="C27" i="19"/>
  <c r="D27" i="19" s="1"/>
  <c r="C27" i="15" l="1"/>
  <c r="D2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D2" authorId="0" shapeId="0" xr:uid="{00000000-0006-0000-0000-000001000000}">
      <text>
        <r>
          <rPr>
            <sz val="11"/>
            <color indexed="81"/>
            <rFont val="Yu Gothic UI"/>
            <family val="3"/>
            <charset val="128"/>
          </rPr>
          <t>　【使い方】
・このシートに入力すると、他のシート（センター控、市町村控、融資機関控）に転記されます。
・また「償還表」シートに償還表が自動作成されますので、ご利用ください。</t>
        </r>
        <r>
          <rPr>
            <sz val="8"/>
            <color indexed="81"/>
            <rFont val="Yu Gothic UI"/>
            <family val="3"/>
            <charset val="128"/>
          </rPr>
          <t xml:space="preserve">
</t>
        </r>
      </text>
    </comment>
    <comment ref="BK12" authorId="0" shapeId="0" xr:uid="{00000000-0006-0000-0000-000002000000}">
      <text>
        <r>
          <rPr>
            <b/>
            <sz val="12"/>
            <color indexed="81"/>
            <rFont val="Yu Gothic UI"/>
            <family val="3"/>
            <charset val="128"/>
          </rPr>
          <t>約定償還額は自動入力されます
（借入申込額、償還期間、据置期間、年・半年賦を入力してください）</t>
        </r>
      </text>
    </comment>
    <comment ref="E14" authorId="0" shapeId="0" xr:uid="{00000000-0006-0000-0000-000003000000}">
      <text>
        <r>
          <rPr>
            <sz val="10"/>
            <color indexed="81"/>
            <rFont val="Yu Gothic UI"/>
            <family val="3"/>
            <charset val="128"/>
          </rPr>
          <t>法人種類はこちらでリストから選択してください。</t>
        </r>
      </text>
    </comment>
    <comment ref="L19" authorId="0" shapeId="0" xr:uid="{1D62A0F3-D7B7-4AB6-AC0B-0439000980D9}">
      <text>
        <r>
          <rPr>
            <sz val="10"/>
            <color indexed="81"/>
            <rFont val="Yu Gothic UI"/>
            <family val="3"/>
            <charset val="128"/>
          </rPr>
          <t>国（農林水産長期金融協会）の当初５年間無利子化措置を受ける見込みの場合に数字の前に「*」をつける。</t>
        </r>
      </text>
    </comment>
  </commentList>
</comments>
</file>

<file path=xl/sharedStrings.xml><?xml version="1.0" encoding="utf-8"?>
<sst xmlns="http://schemas.openxmlformats.org/spreadsheetml/2006/main" count="1356" uniqueCount="793">
  <si>
    <t>月</t>
    <rPh sb="0" eb="1">
      <t>ツキ</t>
    </rPh>
    <phoneticPr fontId="2"/>
  </si>
  <si>
    <t>償還期間</t>
    <rPh sb="0" eb="2">
      <t>ショウカン</t>
    </rPh>
    <rPh sb="2" eb="4">
      <t>キカン</t>
    </rPh>
    <phoneticPr fontId="2"/>
  </si>
  <si>
    <t>据置期間</t>
    <rPh sb="0" eb="2">
      <t>スエオキ</t>
    </rPh>
    <rPh sb="2" eb="4">
      <t>キカン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</si>
  <si>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</si>
  <si>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</si>
  <si>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貸付目標日</t>
    <rPh sb="0" eb="2">
      <t>カシツケ</t>
    </rPh>
    <rPh sb="2" eb="5">
      <t>モクヒョウビ</t>
    </rPh>
    <phoneticPr fontId="2"/>
  </si>
  <si>
    <t>借入申込額</t>
    <rPh sb="0" eb="2">
      <t>カリイレ</t>
    </rPh>
    <rPh sb="2" eb="5">
      <t>モウシコミガク</t>
    </rPh>
    <phoneticPr fontId="2"/>
  </si>
  <si>
    <t>月</t>
    <rPh sb="0" eb="1">
      <t>ツキ</t>
    </rPh>
    <phoneticPr fontId="2"/>
  </si>
  <si>
    <t>（千円）</t>
    <rPh sb="1" eb="3">
      <t>センエン</t>
    </rPh>
    <phoneticPr fontId="2"/>
  </si>
  <si>
    <t>（％）</t>
    <phoneticPr fontId="2"/>
  </si>
  <si>
    <t>県（％）</t>
    <rPh sb="0" eb="1">
      <t>ケン</t>
    </rPh>
    <phoneticPr fontId="2"/>
  </si>
  <si>
    <t>市町村（％）</t>
    <rPh sb="0" eb="3">
      <t>シチョウソン</t>
    </rPh>
    <phoneticPr fontId="2"/>
  </si>
  <si>
    <t>融資機関</t>
    <rPh sb="0" eb="4">
      <t>ユウシキカン</t>
    </rPh>
    <phoneticPr fontId="2"/>
  </si>
  <si>
    <t>融資機関</t>
    <rPh sb="0" eb="4">
      <t>ユウシキカン</t>
    </rPh>
    <phoneticPr fontId="2"/>
  </si>
  <si>
    <t>市町村</t>
    <rPh sb="0" eb="3">
      <t>シチョウソン</t>
    </rPh>
    <phoneticPr fontId="2"/>
  </si>
  <si>
    <t>農　　林</t>
    <rPh sb="0" eb="4">
      <t>ノウリン</t>
    </rPh>
    <phoneticPr fontId="2"/>
  </si>
  <si>
    <t>コード</t>
    <phoneticPr fontId="2"/>
  </si>
  <si>
    <t>承認</t>
    <rPh sb="0" eb="2">
      <t>ショウニン</t>
    </rPh>
    <phoneticPr fontId="2"/>
  </si>
  <si>
    <t>年度</t>
    <rPh sb="0" eb="2">
      <t>ネンド</t>
    </rPh>
    <phoneticPr fontId="2"/>
  </si>
  <si>
    <t>農業近代化資金利子補給承認申請書</t>
    <rPh sb="0" eb="2">
      <t>ノウギョウ</t>
    </rPh>
    <rPh sb="2" eb="4">
      <t>キンダイ</t>
    </rPh>
    <rPh sb="4" eb="7">
      <t>カシキン</t>
    </rPh>
    <rPh sb="7" eb="9">
      <t>リシ</t>
    </rPh>
    <rPh sb="9" eb="11">
      <t>ホキュウ</t>
    </rPh>
    <rPh sb="11" eb="13">
      <t>ショウニン</t>
    </rPh>
    <rPh sb="13" eb="16">
      <t>シンセイショ</t>
    </rPh>
    <phoneticPr fontId="2"/>
  </si>
  <si>
    <t>名称</t>
    <rPh sb="0" eb="2">
      <t>メイショウ</t>
    </rPh>
    <phoneticPr fontId="2"/>
  </si>
  <si>
    <t>年</t>
    <rPh sb="0" eb="1">
      <t>ネン</t>
    </rPh>
    <phoneticPr fontId="2"/>
  </si>
  <si>
    <t>住所</t>
    <rPh sb="0" eb="2">
      <t>ジュウショ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</si>
  <si>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</si>
  <si>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</si>
  <si>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</si>
  <si>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</si>
  <si>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種　　類</t>
    <rPh sb="0" eb="1">
      <t>シュ</t>
    </rPh>
    <rPh sb="3" eb="4">
      <t>タグイ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</si>
  <si>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</si>
  <si>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利 子 補 給 率</t>
    <rPh sb="0" eb="1">
      <t>リ</t>
    </rPh>
    <rPh sb="2" eb="3">
      <t>コ</t>
    </rPh>
    <rPh sb="4" eb="5">
      <t>タスク</t>
    </rPh>
    <rPh sb="6" eb="7">
      <t>キュウ</t>
    </rPh>
    <rPh sb="8" eb="9">
      <t>リツ</t>
    </rPh>
    <phoneticPr fontId="2"/>
  </si>
  <si>
    <t>約 定 償 還 日</t>
    <rPh sb="0" eb="1">
      <t>ヤク</t>
    </rPh>
    <rPh sb="2" eb="3">
      <t>サダム</t>
    </rPh>
    <rPh sb="4" eb="5">
      <t>ショウ</t>
    </rPh>
    <rPh sb="6" eb="7">
      <t>カン</t>
    </rPh>
    <rPh sb="8" eb="9">
      <t>ビ</t>
    </rPh>
    <phoneticPr fontId="2"/>
  </si>
  <si>
    <t>約  定　償　還　額</t>
    <rPh sb="0" eb="1">
      <t>ヤク</t>
    </rPh>
    <rPh sb="3" eb="4">
      <t>サダム</t>
    </rPh>
    <rPh sb="5" eb="6">
      <t>ショウ</t>
    </rPh>
    <rPh sb="7" eb="8">
      <t>カン</t>
    </rPh>
    <rPh sb="9" eb="10">
      <t>ガク</t>
    </rPh>
    <phoneticPr fontId="2"/>
  </si>
  <si>
    <t>代表者</t>
    <rPh sb="0" eb="2">
      <t>ダイヒョウ</t>
    </rPh>
    <rPh sb="2" eb="3">
      <t>シャ</t>
    </rPh>
    <phoneticPr fontId="2"/>
  </si>
  <si>
    <t>千円</t>
    <rPh sb="0" eb="2">
      <t>センエン</t>
    </rPh>
    <phoneticPr fontId="2"/>
  </si>
  <si>
    <t>事　業　種　目　及　び　事　業　量</t>
    <rPh sb="0" eb="1">
      <t>コト</t>
    </rPh>
    <rPh sb="2" eb="3">
      <t>ギョウ</t>
    </rPh>
    <rPh sb="4" eb="5">
      <t>シュ</t>
    </rPh>
    <rPh sb="6" eb="7">
      <t>メ</t>
    </rPh>
    <rPh sb="8" eb="9">
      <t>オヨ</t>
    </rPh>
    <rPh sb="12" eb="13">
      <t>コト</t>
    </rPh>
    <rPh sb="14" eb="15">
      <t>ギョウ</t>
    </rPh>
    <rPh sb="16" eb="17">
      <t>リョウ</t>
    </rPh>
    <phoneticPr fontId="2"/>
  </si>
  <si>
    <t>市（町村）長</t>
    <rPh sb="0" eb="1">
      <t>シ</t>
    </rPh>
    <rPh sb="2" eb="4">
      <t>チョウソン</t>
    </rPh>
    <rPh sb="5" eb="6">
      <t>チョウ</t>
    </rPh>
    <phoneticPr fontId="2"/>
  </si>
  <si>
    <t>農業近代化資金利子補給承認申請書（融資機関控）</t>
    <rPh sb="0" eb="2">
      <t>ノウギョウ</t>
    </rPh>
    <rPh sb="2" eb="4">
      <t>キンダイ</t>
    </rPh>
    <rPh sb="4" eb="7">
      <t>カシキン</t>
    </rPh>
    <rPh sb="7" eb="9">
      <t>リシ</t>
    </rPh>
    <rPh sb="9" eb="11">
      <t>ホキュウ</t>
    </rPh>
    <rPh sb="11" eb="13">
      <t>ショウニン</t>
    </rPh>
    <rPh sb="13" eb="16">
      <t>シンセイショ</t>
    </rPh>
    <rPh sb="17" eb="19">
      <t>ユウシ</t>
    </rPh>
    <rPh sb="19" eb="21">
      <t>キカン</t>
    </rPh>
    <rPh sb="21" eb="22">
      <t>ヒカ</t>
    </rPh>
    <phoneticPr fontId="2"/>
  </si>
  <si>
    <t>コ　ー　ド</t>
    <phoneticPr fontId="2"/>
  </si>
  <si>
    <t>ｶﾀｶﾅ</t>
    <phoneticPr fontId="2"/>
  </si>
  <si>
    <t>漢字</t>
    <rPh sb="0" eb="2">
      <t>カンジ</t>
    </rPh>
    <phoneticPr fontId="2"/>
  </si>
  <si>
    <t>施設</t>
    <rPh sb="0" eb="2">
      <t>シセツ</t>
    </rPh>
    <phoneticPr fontId="2"/>
  </si>
  <si>
    <t>借入予定者氏名等（上段……ｶﾀｶﾅ　下段……漢字）</t>
    <rPh sb="0" eb="2">
      <t>カリイレ</t>
    </rPh>
    <rPh sb="2" eb="5">
      <t>ヨテイシャ</t>
    </rPh>
    <rPh sb="5" eb="7">
      <t>シメイ</t>
    </rPh>
    <rPh sb="7" eb="8">
      <t>ナド</t>
    </rPh>
    <rPh sb="9" eb="11">
      <t>ジョウダン</t>
    </rPh>
    <rPh sb="18" eb="20">
      <t>ゲダン</t>
    </rPh>
    <rPh sb="22" eb="24">
      <t>カンジ</t>
    </rPh>
    <phoneticPr fontId="2"/>
  </si>
  <si>
    <t>西暦</t>
    <rPh sb="0" eb="2">
      <t>セイレキ</t>
    </rPh>
    <phoneticPr fontId="2"/>
  </si>
  <si>
    <t>農林振興ｾﾝﾀｰｺｰﾄﾞ</t>
    <rPh sb="0" eb="2">
      <t>ノウリン</t>
    </rPh>
    <rPh sb="2" eb="4">
      <t>シンコウ</t>
    </rPh>
    <phoneticPr fontId="2"/>
  </si>
  <si>
    <t>市町村</t>
    <rPh sb="0" eb="3">
      <t>シチョウソン</t>
    </rPh>
    <phoneticPr fontId="2"/>
  </si>
  <si>
    <t>5001りそな川口支店</t>
  </si>
  <si>
    <t>5002りそな東岩槻支店（さいたま）</t>
  </si>
  <si>
    <t>5003りそな西川口支店</t>
  </si>
  <si>
    <t>5004りそな川口南平支店</t>
  </si>
  <si>
    <t>5005りそなさいたま営業部</t>
  </si>
  <si>
    <t>5006りそな県庁支店（さいたま）</t>
  </si>
  <si>
    <t>5007りそな浦和中央支店</t>
  </si>
  <si>
    <t>5008りそな浦和東口支店</t>
  </si>
  <si>
    <t>5009りそな南浦和支店（さいたま）</t>
  </si>
  <si>
    <t>5010りそな岩槻支店（さいたま）</t>
  </si>
  <si>
    <t>5011りそな騎西支店（鴻巣）</t>
  </si>
  <si>
    <t>5012りそな北浦和支店</t>
  </si>
  <si>
    <t>5013りそな北浦和西口支店</t>
  </si>
  <si>
    <t>5014りそな大宮支店（さいたま）</t>
  </si>
  <si>
    <t>5016りそな宮原支店（さいたま）</t>
  </si>
  <si>
    <t>5017りそな東大宮支店</t>
  </si>
  <si>
    <t>5018りそな七里支店（さいたま）</t>
  </si>
  <si>
    <t>5019りそな大宮支店（土呂）</t>
  </si>
  <si>
    <t>5020りそな大宮西支店（さいたま）</t>
  </si>
  <si>
    <t>5021りそな日進支店（さいたま）</t>
  </si>
  <si>
    <t>5022りそな指扇支店（さいたま）</t>
  </si>
  <si>
    <t>5023りそな鴻巣支店</t>
  </si>
  <si>
    <t>5024りそな上尾支店</t>
  </si>
  <si>
    <t>5025りそな上尾西口支店</t>
  </si>
  <si>
    <t>5026りそな与野支店（さいたま）</t>
  </si>
  <si>
    <t>5027りそな草加支店</t>
  </si>
  <si>
    <t>5028りそな松原支店（草加）</t>
  </si>
  <si>
    <t>5029りそな蕨支店</t>
  </si>
  <si>
    <t>5030りそな蕨東支店</t>
  </si>
  <si>
    <t>5031りそな戸田支店</t>
  </si>
  <si>
    <t>5033りそな鳩ヶ谷支店（川口）</t>
  </si>
  <si>
    <t>5034りそな朝霞支店</t>
  </si>
  <si>
    <t>5035りそな志木支店</t>
  </si>
  <si>
    <t>5036りそな和光支店</t>
  </si>
  <si>
    <t>5037りそな新座支店</t>
  </si>
  <si>
    <t>5039りそな桶川支店</t>
  </si>
  <si>
    <t>5040りそな北本支店</t>
  </si>
  <si>
    <t>5041りそな伊奈支店</t>
  </si>
  <si>
    <t>5042りそな吹上支店（鴻巣）</t>
  </si>
  <si>
    <t>5047りそな武蔵浦和支店（さいたま）</t>
  </si>
  <si>
    <t>5101りそな川越支店</t>
  </si>
  <si>
    <t>5102りそな川越南支店</t>
  </si>
  <si>
    <t>5103りそな本川越支店</t>
  </si>
  <si>
    <t>5104りそな川越支店・新河岸</t>
  </si>
  <si>
    <t>5105りそな霞ヶ関支店（川越）</t>
  </si>
  <si>
    <t>5106りそな所沢支店</t>
  </si>
  <si>
    <t>5108りそな新所沢支店</t>
  </si>
  <si>
    <t>5109りそな小手指支店（所沢）</t>
  </si>
  <si>
    <t>5110りそな飯能支店</t>
  </si>
  <si>
    <t>5111りそな狭山支店</t>
  </si>
  <si>
    <t>5112りそな新狭山支店</t>
  </si>
  <si>
    <t>5114りそな入間支店</t>
  </si>
  <si>
    <t>5115りそな武蔵藤沢支店（入間）</t>
  </si>
  <si>
    <t>5116りそな上福岡支店（ふじみ野）</t>
  </si>
  <si>
    <t>5117りそな鶴瀬支店（富士見）</t>
  </si>
  <si>
    <t>5118りそなみずほ台支店（富士見）</t>
  </si>
  <si>
    <t>5119りそな坂戸支店</t>
  </si>
  <si>
    <t>5121りそな大井支店（ふじみ野）</t>
  </si>
  <si>
    <t>5122りそな鶴瀬支店（三芳）</t>
  </si>
  <si>
    <t>5123りそな越生毛呂山支店（毛呂山）</t>
  </si>
  <si>
    <t>5125りそな鶴ヶ島支店</t>
  </si>
  <si>
    <t>5126りそな日高支店</t>
  </si>
  <si>
    <t>5131りそな所沢支店所沢東口</t>
  </si>
  <si>
    <t>5201りそな東松山支店（東松山）</t>
  </si>
  <si>
    <t>5202りそな東松山支店（滑川）</t>
  </si>
  <si>
    <t>5203りそな東松山支店（嵐山）</t>
  </si>
  <si>
    <t>5204りそな小川支店</t>
  </si>
  <si>
    <t>5206りそな東松山（ときがわ）</t>
  </si>
  <si>
    <t>5207りそな東松山支店（川島）</t>
  </si>
  <si>
    <t>5208りそな東松山支店（吉見）</t>
  </si>
  <si>
    <t>5301りそな秩父支店（秩父）</t>
  </si>
  <si>
    <t>5302りそな秩父支店（横瀬）</t>
  </si>
  <si>
    <t>5303りそな皆野支店（皆野）</t>
  </si>
  <si>
    <t>5304りそな皆野支店（長）</t>
  </si>
  <si>
    <t>5305りそな小鹿野支店（秩父）</t>
  </si>
  <si>
    <t>5306りそな小鹿野支店（小鹿野）</t>
  </si>
  <si>
    <t>5310りそな小鹿野支店（東秩父）</t>
  </si>
  <si>
    <t>5401りそな本庄支店（本庄）</t>
  </si>
  <si>
    <t>5402りそな本庄支店（美里）</t>
  </si>
  <si>
    <t>5403りそな児玉支店（本庄）</t>
  </si>
  <si>
    <t>5404りそな児玉支店（神川）</t>
  </si>
  <si>
    <t>5405りそな本庄支店（神川）</t>
  </si>
  <si>
    <t>5406りそな本庄支店（上里）</t>
  </si>
  <si>
    <t>5501りそな熊谷支店（熊谷）</t>
  </si>
  <si>
    <t>5503りそな熊谷駅前支店</t>
  </si>
  <si>
    <t>5504りそな深谷支店</t>
  </si>
  <si>
    <t>5507りそな妻沼支店（熊谷）</t>
  </si>
  <si>
    <t>5508りそな岡部支店（深谷）</t>
  </si>
  <si>
    <t>5509りそな熊谷支店（深谷）</t>
  </si>
  <si>
    <t>5510りそな寄居支店（深谷）</t>
  </si>
  <si>
    <t>5511りそな寄居支店（寄居）</t>
  </si>
  <si>
    <t>5512りそな籠原支店（熊谷）</t>
  </si>
  <si>
    <t>5601りそな行田支店</t>
  </si>
  <si>
    <t>5602りそな加須支店</t>
  </si>
  <si>
    <t>5603りそな羽生支店</t>
  </si>
  <si>
    <t>5604りそな騎西支店（加須）</t>
  </si>
  <si>
    <t>5607りそな栗橋支店（加須市北川辺）</t>
  </si>
  <si>
    <t>5608りそな栗橋支店（加須市大利根）</t>
  </si>
  <si>
    <t>5703りそな春日部支店</t>
  </si>
  <si>
    <t>5704りそな武里支店（春日部）</t>
  </si>
  <si>
    <t>5705りそな春日部西口支店</t>
  </si>
  <si>
    <t>5706りそな越谷支店（越谷）</t>
  </si>
  <si>
    <t>5707りそな久喜支店</t>
  </si>
  <si>
    <t>5708りそな八潮支店</t>
  </si>
  <si>
    <t>5709りそな蓮田支店</t>
  </si>
  <si>
    <t>5710りそな白岡支店</t>
  </si>
  <si>
    <t>5712りそな菖蒲支店（久喜）</t>
  </si>
  <si>
    <t>5714りそな宮代支店</t>
  </si>
  <si>
    <t>5715りそな南越谷支店</t>
  </si>
  <si>
    <t>5716りそな北越谷支店</t>
  </si>
  <si>
    <t>5801りそな三郷支店</t>
  </si>
  <si>
    <t>5802りそな幸手支店</t>
  </si>
  <si>
    <t>5803りそな栗橋支店（久喜）</t>
  </si>
  <si>
    <t>5804りそな鷲宮支店（久喜）</t>
  </si>
  <si>
    <t>5805りそな杉戸支店</t>
  </si>
  <si>
    <t>5806りそな越谷支店（松伏）</t>
  </si>
  <si>
    <t>5807りそな吉川支店</t>
  </si>
  <si>
    <t>5808りそな庄和支店（春日部）</t>
  </si>
  <si>
    <t>6001武銀本店営業部（さいたま）</t>
  </si>
  <si>
    <t>6002武銀浦和支店</t>
  </si>
  <si>
    <t>6003武銀蕨支店</t>
  </si>
  <si>
    <t>6004武銀川口支店</t>
  </si>
  <si>
    <t>6018武銀草加支店</t>
  </si>
  <si>
    <t>6020武銀鴻巣支店</t>
  </si>
  <si>
    <t>6021武銀北浦和支店</t>
  </si>
  <si>
    <t>6022武銀志木支店</t>
  </si>
  <si>
    <t>6024武銀上尾支店</t>
  </si>
  <si>
    <t>6025武銀宮原支店（さいたま）</t>
  </si>
  <si>
    <t>6027武銀戸田支店</t>
  </si>
  <si>
    <t>6028武銀朝霞支店</t>
  </si>
  <si>
    <t>6030武銀岩槻支店（さいたま）</t>
  </si>
  <si>
    <t>6032武銀東大宮支店（さいたま）</t>
  </si>
  <si>
    <t>6033武銀南浦和支店</t>
  </si>
  <si>
    <t>6034武銀大宮支店</t>
  </si>
  <si>
    <t>6035武銀西上尾支店</t>
  </si>
  <si>
    <t>6036武銀西川口支店</t>
  </si>
  <si>
    <t>6037武銀新座支店</t>
  </si>
  <si>
    <t>6038武銀与野支店（さいたま）</t>
  </si>
  <si>
    <t>6039武銀北本支店</t>
  </si>
  <si>
    <t>6044武銀七里支店（さいたま）</t>
  </si>
  <si>
    <t>6045武銀指扇支店（さいたま）</t>
  </si>
  <si>
    <t>6049武銀東浦和支店（さいたま）</t>
  </si>
  <si>
    <t>6056武銀松原支店（草加）</t>
  </si>
  <si>
    <t>6057武銀県庁前支店（さいたま）</t>
  </si>
  <si>
    <t>6059武銀大宮北支店</t>
  </si>
  <si>
    <t>6061武銀伊奈支店</t>
  </si>
  <si>
    <t>6036武銀武蔵浦和支店（さいたま）</t>
  </si>
  <si>
    <t>6065武銀桶川支店</t>
  </si>
  <si>
    <t>6068武銀新座南支店</t>
  </si>
  <si>
    <t>6077武銀白鍬支店（さいたま）</t>
  </si>
  <si>
    <t>6082武銀北浦和西口支店</t>
  </si>
  <si>
    <t>6090武銀東川口支店</t>
  </si>
  <si>
    <t>6091武銀和光支店</t>
  </si>
  <si>
    <t>6092武銀行田支店（鴻巣）</t>
  </si>
  <si>
    <t>6093武銀片柳支店（さいたま）</t>
  </si>
  <si>
    <t>6094武銀深作支店（さいたま）</t>
  </si>
  <si>
    <t>6095武銀天沼支店（さいたま）</t>
  </si>
  <si>
    <t>6096武銀宮原西口支店（さいたま）</t>
  </si>
  <si>
    <t>6097武銀鳩ヶ谷支店（川口）</t>
  </si>
  <si>
    <t>6098武銀戸田西支店</t>
  </si>
  <si>
    <t>6105武銀狭山支店</t>
  </si>
  <si>
    <t>6116武銀飯能支店</t>
  </si>
  <si>
    <t>6117武銀川越支店</t>
  </si>
  <si>
    <t>6119武銀所沢支店</t>
  </si>
  <si>
    <t>6131武銀大井支店（ふじみ野）</t>
  </si>
  <si>
    <t>6140武銀新所沢支店</t>
  </si>
  <si>
    <t>6141武銀坂戸支店</t>
  </si>
  <si>
    <t>6142武銀日高支店</t>
  </si>
  <si>
    <t>6146武銀新河岸支店（川越）</t>
  </si>
  <si>
    <t>6148武銀狭山東支店</t>
  </si>
  <si>
    <t>6153武銀霞ヶ関支店（川越）</t>
  </si>
  <si>
    <t>6154武銀川越南支店</t>
  </si>
  <si>
    <t>6164武銀入曽支店（狭山）</t>
  </si>
  <si>
    <t>6166武銀下山口支店（所沢）</t>
  </si>
  <si>
    <t>6169武銀所沢駅前支店</t>
  </si>
  <si>
    <t>6170武銀入間支店</t>
  </si>
  <si>
    <t>6174武銀狭山西支店</t>
  </si>
  <si>
    <t>6176武銀みずほ台支店（富士見）</t>
  </si>
  <si>
    <t>6180武銀東所沢支店</t>
  </si>
  <si>
    <t>6183武銀鶴ケ島支店（川越）</t>
  </si>
  <si>
    <t>6192武銀大井支店（三芳）</t>
  </si>
  <si>
    <t>6193武銀坂戸支店（毛呂山）</t>
  </si>
  <si>
    <t>6194武銀坂戸支店（越生）</t>
  </si>
  <si>
    <t>6195武銀坂戸支店（鶴ヶ島）</t>
  </si>
  <si>
    <t>6197武銀ふじみ野支店（ふじみ野）</t>
  </si>
  <si>
    <t>6211武銀東松山（東松山）</t>
  </si>
  <si>
    <t>6212武銀小川支店（小川）</t>
  </si>
  <si>
    <t>6275武銀高坂支店</t>
  </si>
  <si>
    <t>6290武銀東松山（滑川）</t>
  </si>
  <si>
    <t>6291武銀小川支店（嵐山）</t>
  </si>
  <si>
    <t>6292武銀小川支店（ときがわ）</t>
  </si>
  <si>
    <t>6294武銀川越支店（川島）</t>
  </si>
  <si>
    <t>6295武銀東松山（吉見）</t>
  </si>
  <si>
    <t>6296武銀坂戸支店（鳩山）</t>
  </si>
  <si>
    <t>6306武銀秩父支店（秩父）</t>
  </si>
  <si>
    <t>6307武銀秩父支店（横瀬）</t>
  </si>
  <si>
    <t>6378武銀横瀬支店</t>
  </si>
  <si>
    <t>6391武銀秩父支店（皆野）</t>
  </si>
  <si>
    <t>6392武銀寄居支店（長瀞）</t>
  </si>
  <si>
    <t>6394武銀秩父支店（小鹿野）</t>
  </si>
  <si>
    <t>6398武銀小川支店（東秩父）</t>
  </si>
  <si>
    <t>6415武銀本庄支店（本庄）</t>
  </si>
  <si>
    <t>6467武銀本庄南支店</t>
  </si>
  <si>
    <t>6490武銀本庄支店（美里）</t>
  </si>
  <si>
    <t>6492武銀本庄支店（神川）</t>
  </si>
  <si>
    <t>6494武銀本庄支店（上里）</t>
  </si>
  <si>
    <t>6507武銀寄居支店（寄居）</t>
  </si>
  <si>
    <t>6508武銀熊谷支店（熊谷）</t>
  </si>
  <si>
    <t>6562武銀深谷支店</t>
  </si>
  <si>
    <t>6573武銀川本支店（深谷）</t>
  </si>
  <si>
    <t>6594武銀寄居支店（深谷）</t>
  </si>
  <si>
    <t>6595武銀熊谷東支店</t>
  </si>
  <si>
    <t>6609武銀羽生支店（羽生）</t>
  </si>
  <si>
    <t>6613武銀行田支店（行田）</t>
  </si>
  <si>
    <t>6690武銀加須支店</t>
  </si>
  <si>
    <t>6691武銀羽生支店（加須市騎西）</t>
  </si>
  <si>
    <t>6694武銀幸手支店（加須市北川辺）</t>
  </si>
  <si>
    <t>6695武銀幸手支店（加須市大利根）</t>
  </si>
  <si>
    <t>6696武銀久喜支店（加須）</t>
  </si>
  <si>
    <t>6714武銀春日部支店（春日部）</t>
  </si>
  <si>
    <t>6723武銀久喜支店（久喜）</t>
  </si>
  <si>
    <t>6726武銀越谷支店（越谷）</t>
  </si>
  <si>
    <t>6747武銀蓮田支店（蓮田）</t>
  </si>
  <si>
    <t>6750武銀武里支店（春日部）</t>
  </si>
  <si>
    <t>6751武銀藤ヶ丘支店（春日部）</t>
  </si>
  <si>
    <t>6755武銀大袋支店（越谷）</t>
  </si>
  <si>
    <t>6790武銀八潮支店</t>
  </si>
  <si>
    <t>6791武銀春日部支店（宮代）</t>
  </si>
  <si>
    <t>6792武銀蓮田支店（白岡）</t>
  </si>
  <si>
    <t>6793武銀久喜支店（久喜市菖蒲）</t>
  </si>
  <si>
    <t>6794武銀新白岡支店</t>
  </si>
  <si>
    <t>6795武銀伊奈支店（蓮田）</t>
  </si>
  <si>
    <t>6810武銀幸手支店（幸手）</t>
  </si>
  <si>
    <t>6858武銀三郷支店</t>
  </si>
  <si>
    <t>6860武銀松伏支店</t>
  </si>
  <si>
    <t>6871武銀庄和支店（宮代）</t>
  </si>
  <si>
    <t>6884武銀杉戸高野台支店</t>
  </si>
  <si>
    <t>6890武銀幸手支店（久喜）</t>
  </si>
  <si>
    <t>6891武銀久喜支店（久喜市鷲宮）</t>
  </si>
  <si>
    <t>6892武銀幸手支店（杉戸）</t>
  </si>
  <si>
    <t>6893武銀越谷支店（吉川）</t>
  </si>
  <si>
    <t>6894武銀吉川支店</t>
  </si>
  <si>
    <t>7002埼信浦和支店</t>
  </si>
  <si>
    <t>7003埼信大宮支店</t>
  </si>
  <si>
    <t>7010埼信鴻巣支店（鴻巣）</t>
  </si>
  <si>
    <t>7013埼信桶川支店（桶川）</t>
  </si>
  <si>
    <t>7016埼信上尾支店</t>
  </si>
  <si>
    <t>7017埼信草加支店</t>
  </si>
  <si>
    <t>7018埼信岩槻支店（さいたま）</t>
  </si>
  <si>
    <t>7019埼信北浦和支店</t>
  </si>
  <si>
    <t>7020埼信大宮西支店</t>
  </si>
  <si>
    <t>7021埼信北本支店</t>
  </si>
  <si>
    <t>7023埼信与野支店（さいたま）</t>
  </si>
  <si>
    <t>7025埼信南浦和支店</t>
  </si>
  <si>
    <t>7030埼信大和田支店（さいたま）</t>
  </si>
  <si>
    <t>7035埼信吹上支店（鴻巣）</t>
  </si>
  <si>
    <t>7036埼信三橋支店（さいたま）</t>
  </si>
  <si>
    <t>7038埼信大東支店（さいたま）</t>
  </si>
  <si>
    <t>7040埼信片柳支店（さいたま）</t>
  </si>
  <si>
    <t>7041埼信宮原東支店（さいたま）</t>
  </si>
  <si>
    <t>7043埼信宮原支店（さいたま）</t>
  </si>
  <si>
    <t>7044埼信西堀支店（さいたま）</t>
  </si>
  <si>
    <t>7046埼信浦和東支店</t>
  </si>
  <si>
    <t>7047埼信上尾柏座支店</t>
  </si>
  <si>
    <t>7048埼信上尾西支店</t>
  </si>
  <si>
    <t>7049埼信大間木支店（さいたま）</t>
  </si>
  <si>
    <t>7050埼信原市支店（上尾）</t>
  </si>
  <si>
    <t>7051埼信伊奈支店</t>
  </si>
  <si>
    <t>7058埼信七里支店（さいたま）</t>
  </si>
  <si>
    <t>7061埼信東岩槻支店（さいたま）</t>
  </si>
  <si>
    <t>7063埼信鴻巣西口支店</t>
  </si>
  <si>
    <t>7064埼信桶川西口支店</t>
  </si>
  <si>
    <t>7065埼信北本西口支店</t>
  </si>
  <si>
    <t>7066埼信新座支店</t>
  </si>
  <si>
    <t>7067埼信野火止支店（新座）</t>
  </si>
  <si>
    <t>7068埼信朝霞支店</t>
  </si>
  <si>
    <t>7073埼信大久保支店（さいたま）</t>
  </si>
  <si>
    <t>7074埼信東大宮支店（さいたま）</t>
  </si>
  <si>
    <t>7088埼信原市支店（伊奈）</t>
  </si>
  <si>
    <t>7089埼信熊谷東支店（鴻巣）</t>
  </si>
  <si>
    <t>7092埼信西草加支店（草加）</t>
  </si>
  <si>
    <t>7093埼信北草加支店（草加）</t>
  </si>
  <si>
    <t>7104埼信川越支店</t>
  </si>
  <si>
    <t>7105埼信新河岸東支店（川越）</t>
  </si>
  <si>
    <t>7106埼信川越南支店</t>
  </si>
  <si>
    <t>7107埼信川越西支店</t>
  </si>
  <si>
    <t>7108埼信南古谷支店（川越）</t>
  </si>
  <si>
    <t>7110埼信越生支店</t>
  </si>
  <si>
    <t>7111埼信毛呂山支店</t>
  </si>
  <si>
    <t>7112埼信狭山支店</t>
  </si>
  <si>
    <t>7113埼信上福岡支店（ふじみ野）</t>
  </si>
  <si>
    <t>7114埼信鶴瀬支店（富士見）</t>
  </si>
  <si>
    <t>7115埼信鶴ヶ島支店</t>
  </si>
  <si>
    <t>7116埼信武蔵藤沢支店（入間）</t>
  </si>
  <si>
    <t>7117埼信三芳支店</t>
  </si>
  <si>
    <t>7120埼信長瀬支店（毛呂山）</t>
  </si>
  <si>
    <t>7145埼信新河岸支店（川越）</t>
  </si>
  <si>
    <t>7147埼信ふじみ野支店（ふじみ野）</t>
  </si>
  <si>
    <t>7153埼信所沢東支店</t>
  </si>
  <si>
    <t>7154埼信坂戸支店（坂戸）</t>
  </si>
  <si>
    <t>7156埼信霞ヶ関支店（川越）</t>
  </si>
  <si>
    <t>7166埼信鶴ヶ島北支店</t>
  </si>
  <si>
    <t>7188埼信新河岸支店（ふじみ野）</t>
  </si>
  <si>
    <t>7260埼信高坂支店</t>
  </si>
  <si>
    <t>7262埼信東松山支店</t>
  </si>
  <si>
    <t>7270埼信森林公園支店（滑川）</t>
  </si>
  <si>
    <t>7271埼信小川支店</t>
  </si>
  <si>
    <t>7272埼信嵐山支店</t>
  </si>
  <si>
    <t>7273埼信川島支店</t>
  </si>
  <si>
    <t>7274埼信吉見支店</t>
  </si>
  <si>
    <t>7277埼信都幾川支店（ときがわ）</t>
  </si>
  <si>
    <t>7288埼信鴻巣支店（滑川）</t>
  </si>
  <si>
    <t>7289埼信坂戸支店（川島）</t>
  </si>
  <si>
    <t>7290埼信鴻巣支店（吉見）</t>
  </si>
  <si>
    <t>7305埼信秩父支店（秩父）</t>
  </si>
  <si>
    <t>7388埼信秩父支店（横瀬）</t>
  </si>
  <si>
    <t>7389埼信秩父支店（皆野）</t>
  </si>
  <si>
    <t>7390埼信秩父支店（長瀞）</t>
  </si>
  <si>
    <t>7392埼信秩父支店（小鹿野）</t>
  </si>
  <si>
    <t>7406埼信本庄支店（本庄）</t>
  </si>
  <si>
    <t>7488埼信本庄支店（美里）</t>
  </si>
  <si>
    <t>7490埼信本庄支店（神川）</t>
  </si>
  <si>
    <t>7491埼信本庄支店（上里）</t>
  </si>
  <si>
    <t>7501埼信本店営業部（熊谷）</t>
  </si>
  <si>
    <t>7514埼信深谷支店</t>
  </si>
  <si>
    <t>7515埼信寄居支店（寄居）</t>
  </si>
  <si>
    <t>7531埼信籠原支店（熊谷）</t>
  </si>
  <si>
    <t>7539埼信上之支店（熊谷）</t>
  </si>
  <si>
    <t>7557埼信籠原南支店（熊谷）</t>
  </si>
  <si>
    <t>7559埼信江南支店（熊谷）</t>
  </si>
  <si>
    <t>7591埼信寄居支店（深谷）</t>
  </si>
  <si>
    <t>7593埼信本部・熊谷東支店</t>
  </si>
  <si>
    <t>7594埼信江南支店（深谷）</t>
  </si>
  <si>
    <t>7607埼信行田支店</t>
  </si>
  <si>
    <t>7608埼信花崎支店（加須）</t>
  </si>
  <si>
    <t>7609埼信加須支店（加須）</t>
  </si>
  <si>
    <t>7618埼信羽生支店</t>
  </si>
  <si>
    <t>7664埼信騎西支店（加須）</t>
  </si>
  <si>
    <t>7688埼信加須支店（加須市騎西）</t>
  </si>
  <si>
    <t>7689埼信加須支店（加須市北川辺）</t>
  </si>
  <si>
    <t>7690埼信加須支店（加須市大利根）</t>
  </si>
  <si>
    <t>7693埼信熊谷東支店（行田）</t>
  </si>
  <si>
    <t>7711埼信春日部（春日部）</t>
  </si>
  <si>
    <t>7712埼信越谷支店（越谷）</t>
  </si>
  <si>
    <t>7727埼信蓮田支店</t>
  </si>
  <si>
    <t>7728埼信大袋支店（越谷）</t>
  </si>
  <si>
    <t>7729埼信八潮支店</t>
  </si>
  <si>
    <t>7730埼信越谷平方支店</t>
  </si>
  <si>
    <t>7731埼信宮代支店</t>
  </si>
  <si>
    <t>7732埼信白岡支店</t>
  </si>
  <si>
    <t>7733埼信久喜支店</t>
  </si>
  <si>
    <t>7734埼信豊春支店（春日部）</t>
  </si>
  <si>
    <t>7750埼信春日部西口支店</t>
  </si>
  <si>
    <t>7752埼信八潮南支店</t>
  </si>
  <si>
    <t>7767埼信東八潮支店</t>
  </si>
  <si>
    <t>7788埼信杉戸支店（宮代）</t>
  </si>
  <si>
    <t>7789埼信桶川支店（久喜）</t>
  </si>
  <si>
    <t>7826埼信杉戸支店（杉戸）</t>
  </si>
  <si>
    <t>7888埼信杉戸支店（幸手）</t>
  </si>
  <si>
    <t>7889埼信杉戸支店（久喜）</t>
  </si>
  <si>
    <t>7890埼信越谷支店（松伏）</t>
  </si>
  <si>
    <t>7891埼信草加支店（吉川）</t>
  </si>
  <si>
    <t>7893埼信幸手支店</t>
  </si>
  <si>
    <t>7894埼信西草加支店（吉川）</t>
  </si>
  <si>
    <t>7895埼信北草加支店（吉川）</t>
  </si>
  <si>
    <t>8001川信本部（川口）</t>
  </si>
  <si>
    <t>8002川信本店営業部（川口）</t>
  </si>
  <si>
    <t>8003川信仲町支店（川口）</t>
  </si>
  <si>
    <t>8004川信飯塚支店（川口）</t>
  </si>
  <si>
    <t>8005川信本町東支店（川口）</t>
  </si>
  <si>
    <t>8006川信芝支店（川口）</t>
  </si>
  <si>
    <t>8007川信柳崎支店（川口）</t>
  </si>
  <si>
    <t>8008川信鳩ヶ谷支店（川口）</t>
  </si>
  <si>
    <t>8009川信木曽呂支店（川口）</t>
  </si>
  <si>
    <t>8010川信川口中央支店</t>
  </si>
  <si>
    <t>8011川信東川口支店</t>
  </si>
  <si>
    <t>8012川信赤井支店（川口）</t>
  </si>
  <si>
    <t>8013川信東本郷支店（川口）</t>
  </si>
  <si>
    <t>8014川信蕨支店</t>
  </si>
  <si>
    <t>8015川信戸田支店</t>
  </si>
  <si>
    <t>8016川信戸田北支店</t>
  </si>
  <si>
    <t>8017川信志木支店</t>
  </si>
  <si>
    <t>8018川信宗岡支店（志木）</t>
  </si>
  <si>
    <t>8019川信志木北支店</t>
  </si>
  <si>
    <t>8020川信和光支店</t>
  </si>
  <si>
    <t>8021川信大宮支店</t>
  </si>
  <si>
    <t>8022川信与野支店（さいたま）</t>
  </si>
  <si>
    <t>8023川信北浦和支店</t>
  </si>
  <si>
    <t>8024川信大和田支店（さいたま）</t>
  </si>
  <si>
    <t>8025川信武蔵浦和支店（さいたま）</t>
  </si>
  <si>
    <t>8026川信浦和中尾支店</t>
  </si>
  <si>
    <t>8027川信東大宮支店</t>
  </si>
  <si>
    <t>8028川信岩槻支店（さいたま）</t>
  </si>
  <si>
    <t>8029川信土呂支店（さいたま）</t>
  </si>
  <si>
    <t>8030川信浦和道場支店（さいたま）</t>
  </si>
  <si>
    <t>8031川信東浦和駅前支店</t>
  </si>
  <si>
    <t>8032川信鴻巣支店</t>
  </si>
  <si>
    <t>8033川信上尾支店</t>
  </si>
  <si>
    <t>8034川信桶川支店</t>
  </si>
  <si>
    <t>8101川信みずほ台支店（富士見）</t>
  </si>
  <si>
    <t>8102川信ふじみ野支店</t>
  </si>
  <si>
    <t>8701川信蒲生支店（越谷）</t>
  </si>
  <si>
    <t>8702川信蒲生西口支店（越谷）</t>
  </si>
  <si>
    <t>8703川信南越谷支店</t>
  </si>
  <si>
    <t>8704川信せんげん台支店（越谷）</t>
  </si>
  <si>
    <t>8705川信一ノ割支店（春日部）</t>
  </si>
  <si>
    <t>8706川信春日部支店</t>
  </si>
  <si>
    <t>8707川信宮代支店</t>
  </si>
  <si>
    <t>8708川信久喜支店</t>
  </si>
  <si>
    <t>8801川信鷲宮支店（久喜）</t>
  </si>
  <si>
    <t>8802川信栗橋支店（久喜）</t>
  </si>
  <si>
    <t>1001 さいたま・さいたま市</t>
  </si>
  <si>
    <t>1003 ほくさい・鴻巣市</t>
  </si>
  <si>
    <t>1005 南彩・さいたま市</t>
  </si>
  <si>
    <t>1008 さいたま・戸田市</t>
  </si>
  <si>
    <t>1009 さいたま・蕨市</t>
  </si>
  <si>
    <t>1020 さいたま・草加市</t>
  </si>
  <si>
    <t>1035 さいたま・鴻巣市</t>
  </si>
  <si>
    <t>1038 さいたま・北本市</t>
  </si>
  <si>
    <t>1040 さいたま・伊奈町</t>
  </si>
  <si>
    <t>1041 さいたま・桶川市</t>
  </si>
  <si>
    <t>1046 さいたま・上尾市</t>
  </si>
  <si>
    <t>1049 あさか野・志木市</t>
  </si>
  <si>
    <t>1050 あさか野・新座市</t>
  </si>
  <si>
    <t>1053 あさか野・朝霞市</t>
  </si>
  <si>
    <t>1054 あさか野・和光市</t>
  </si>
  <si>
    <t>1056 さいたま・川口市</t>
  </si>
  <si>
    <t>1057 さいたま・草加市</t>
  </si>
  <si>
    <t>1101 いるま野・川越市</t>
  </si>
  <si>
    <t>1115 いるま野・所沢市</t>
  </si>
  <si>
    <t>1124 いるま野・入間市</t>
  </si>
  <si>
    <t>1130 いるま野・狭山市</t>
  </si>
  <si>
    <t>1131 いるま野・坂戸市</t>
  </si>
  <si>
    <t>1136 いるま野・鶴ヶ島市</t>
  </si>
  <si>
    <t>1137 いるま野・毛呂山</t>
  </si>
  <si>
    <t>1138 いるま野・越生町</t>
  </si>
  <si>
    <t>1139 いるま野・日高市</t>
  </si>
  <si>
    <t>1140 いるま野・飯能市</t>
  </si>
  <si>
    <t>1146 いるま野・富士見市</t>
  </si>
  <si>
    <t>1147 いるま野・ふじみ野市</t>
  </si>
  <si>
    <t>1149 いるま野・三芳町</t>
  </si>
  <si>
    <t>1201 埼玉中央・東松山市</t>
  </si>
  <si>
    <t>1202 埼玉中央・滑川町</t>
  </si>
  <si>
    <t>1204 埼玉中央・嵐山町</t>
  </si>
  <si>
    <t>1207 埼玉中央・小川町</t>
  </si>
  <si>
    <t>1209 埼玉中央・ときがわ町</t>
  </si>
  <si>
    <t>1213 埼玉中央・鳩山町</t>
  </si>
  <si>
    <t>1214 埼玉中央・川島町</t>
  </si>
  <si>
    <t>1215 埼玉中央・吉見町</t>
  </si>
  <si>
    <t>1301 ちちぶ・秩父市</t>
  </si>
  <si>
    <t>1302 ちちぶ・横瀬町</t>
  </si>
  <si>
    <t>1305 ちちぶ・皆野町</t>
  </si>
  <si>
    <t>1306 ちちぶ・長瀞町</t>
  </si>
  <si>
    <t>1308 埼玉中央・東秩父村</t>
  </si>
  <si>
    <t>1309 ちちぶ・吉田（秩父市）</t>
  </si>
  <si>
    <t>1310 ちちぶ・小鹿野町</t>
  </si>
  <si>
    <t>1401 ひびきの・本庄市</t>
  </si>
  <si>
    <t>1402 ひびきの・上里町</t>
  </si>
  <si>
    <t>1403 ひびきの・美里町</t>
  </si>
  <si>
    <t>1405 ひびきの・神川町</t>
  </si>
  <si>
    <t>1501 くまがや</t>
  </si>
  <si>
    <t>1507 ふかや・深谷市</t>
  </si>
  <si>
    <t>1511 ふかや・寄居町</t>
  </si>
  <si>
    <t>1514 埼玉岡部・深谷市</t>
  </si>
  <si>
    <t>1517 花園・深谷市</t>
  </si>
  <si>
    <t>1601 ほくさい・行田市</t>
  </si>
  <si>
    <t>1606 ほくさい・羽生市</t>
  </si>
  <si>
    <t>1615 ほくさい・加須市</t>
  </si>
  <si>
    <t>1617 ほくさい・加須市騎西</t>
  </si>
  <si>
    <t>1618 ほくさい・加須市北川辺</t>
  </si>
  <si>
    <t>1619 ほくさい・加須市大利根</t>
  </si>
  <si>
    <t>1701 さいかつ・八潮市</t>
  </si>
  <si>
    <t>1703 越谷市・草加市</t>
  </si>
  <si>
    <t>1704 越谷市</t>
  </si>
  <si>
    <t>1706 南彩・春日部市</t>
  </si>
  <si>
    <t>1707 南彩・蓮田市</t>
  </si>
  <si>
    <t>1708 南彩・宮代町</t>
  </si>
  <si>
    <t>1709 南彩・白岡市</t>
  </si>
  <si>
    <t>1710 南彩・久喜市</t>
  </si>
  <si>
    <t>1711 南彩・久喜市菖蒲</t>
  </si>
  <si>
    <t>1803 埼玉みずほ・幸手</t>
  </si>
  <si>
    <t>1804 埼玉みずほ・杉戸</t>
  </si>
  <si>
    <t>1806 埼玉みずほ春日部</t>
  </si>
  <si>
    <t>1807 さいかつ・松伏町</t>
  </si>
  <si>
    <t>1808 さいかつ・吉川市</t>
  </si>
  <si>
    <t>1809 さいかつ・三郷市</t>
  </si>
  <si>
    <t>1812 埼玉みずほ・久喜市鷲宮</t>
  </si>
  <si>
    <t>2501 埼北酪農</t>
  </si>
  <si>
    <t>2504 埼玉酪農</t>
  </si>
  <si>
    <t>融資機関コード</t>
    <rPh sb="0" eb="2">
      <t>ユウシ</t>
    </rPh>
    <rPh sb="2" eb="4">
      <t>キカン</t>
    </rPh>
    <phoneticPr fontId="2"/>
  </si>
  <si>
    <t>・融資機関名は略称です。</t>
    <rPh sb="1" eb="3">
      <t>ユウシ</t>
    </rPh>
    <rPh sb="3" eb="5">
      <t>キカン</t>
    </rPh>
    <rPh sb="5" eb="6">
      <t>メイ</t>
    </rPh>
    <rPh sb="7" eb="9">
      <t>リャクショウ</t>
    </rPh>
    <phoneticPr fontId="2"/>
  </si>
  <si>
    <t>農林振興センターコード</t>
    <rPh sb="0" eb="2">
      <t>ノウリン</t>
    </rPh>
    <rPh sb="2" eb="4">
      <t>シンコウ</t>
    </rPh>
    <phoneticPr fontId="2"/>
  </si>
  <si>
    <t>01 さいたま農林</t>
    <rPh sb="7" eb="9">
      <t>ノウリン</t>
    </rPh>
    <phoneticPr fontId="2"/>
  </si>
  <si>
    <t>02 川越農林</t>
    <rPh sb="3" eb="5">
      <t>カワゴエ</t>
    </rPh>
    <rPh sb="5" eb="7">
      <t>ノウリン</t>
    </rPh>
    <phoneticPr fontId="2"/>
  </si>
  <si>
    <t>03 東松山農林</t>
    <rPh sb="3" eb="6">
      <t>ヒガシマツヤマ</t>
    </rPh>
    <rPh sb="6" eb="8">
      <t>ノウリン</t>
    </rPh>
    <phoneticPr fontId="2"/>
  </si>
  <si>
    <t>04 秩父農林</t>
    <rPh sb="3" eb="5">
      <t>チチブ</t>
    </rPh>
    <rPh sb="5" eb="7">
      <t>ノウリン</t>
    </rPh>
    <phoneticPr fontId="2"/>
  </si>
  <si>
    <t>05 本庄農林</t>
    <rPh sb="3" eb="5">
      <t>ホンジョウ</t>
    </rPh>
    <rPh sb="5" eb="7">
      <t>ノウリン</t>
    </rPh>
    <phoneticPr fontId="2"/>
  </si>
  <si>
    <t>06 大里農林</t>
    <rPh sb="3" eb="5">
      <t>オオサト</t>
    </rPh>
    <rPh sb="5" eb="7">
      <t>ノウリン</t>
    </rPh>
    <phoneticPr fontId="2"/>
  </si>
  <si>
    <t>07 加須農林</t>
    <rPh sb="3" eb="5">
      <t>カゾ</t>
    </rPh>
    <rPh sb="5" eb="7">
      <t>ノウリン</t>
    </rPh>
    <phoneticPr fontId="2"/>
  </si>
  <si>
    <t>08 春日部農林</t>
    <rPh sb="3" eb="6">
      <t>カスカベ</t>
    </rPh>
    <rPh sb="6" eb="8">
      <t>ノウリン</t>
    </rPh>
    <phoneticPr fontId="2"/>
  </si>
  <si>
    <t>市町村コード</t>
    <rPh sb="0" eb="3">
      <t>シチョウソン</t>
    </rPh>
    <phoneticPr fontId="2"/>
  </si>
  <si>
    <t>組織名コード</t>
    <rPh sb="0" eb="2">
      <t>ソシキ</t>
    </rPh>
    <rPh sb="2" eb="3">
      <t>メイ</t>
    </rPh>
    <phoneticPr fontId="2"/>
  </si>
  <si>
    <t>施設コード</t>
    <rPh sb="0" eb="2">
      <t>シセツ</t>
    </rPh>
    <phoneticPr fontId="2"/>
  </si>
  <si>
    <t>11 農事組合法人</t>
    <rPh sb="3" eb="5">
      <t>ノウジ</t>
    </rPh>
    <rPh sb="5" eb="7">
      <t>クミアイ</t>
    </rPh>
    <rPh sb="7" eb="9">
      <t>ホウジン</t>
    </rPh>
    <phoneticPr fontId="2"/>
  </si>
  <si>
    <t>12 株式会社</t>
    <rPh sb="3" eb="5">
      <t>カブシキ</t>
    </rPh>
    <rPh sb="5" eb="7">
      <t>カイシャ</t>
    </rPh>
    <phoneticPr fontId="2"/>
  </si>
  <si>
    <t>13 その他法人</t>
    <rPh sb="5" eb="6">
      <t>タ</t>
    </rPh>
    <rPh sb="6" eb="8">
      <t>ホウジン</t>
    </rPh>
    <phoneticPr fontId="2"/>
  </si>
  <si>
    <t>14 有限会社</t>
    <rPh sb="3" eb="5">
      <t>ユウゲン</t>
    </rPh>
    <rPh sb="5" eb="7">
      <t>カイシャ</t>
    </rPh>
    <phoneticPr fontId="2"/>
  </si>
  <si>
    <t>15　認定新規就農者（法人）</t>
    <rPh sb="3" eb="5">
      <t>ニンテイ</t>
    </rPh>
    <rPh sb="5" eb="7">
      <t>シンキ</t>
    </rPh>
    <rPh sb="7" eb="9">
      <t>シュウノウ</t>
    </rPh>
    <rPh sb="9" eb="10">
      <t>シャ</t>
    </rPh>
    <rPh sb="11" eb="13">
      <t>ホウジン</t>
    </rPh>
    <phoneticPr fontId="2"/>
  </si>
  <si>
    <t>11 一般資金（5号資金除く）</t>
    <rPh sb="3" eb="5">
      <t>イッパン</t>
    </rPh>
    <rPh sb="5" eb="7">
      <t>シキン</t>
    </rPh>
    <rPh sb="9" eb="10">
      <t>ゴウ</t>
    </rPh>
    <rPh sb="10" eb="12">
      <t>シキン</t>
    </rPh>
    <rPh sb="12" eb="13">
      <t>ノゾ</t>
    </rPh>
    <phoneticPr fontId="2"/>
  </si>
  <si>
    <t>12 ５号資金（一般）</t>
    <rPh sb="4" eb="5">
      <t>ゴウ</t>
    </rPh>
    <rPh sb="5" eb="7">
      <t>シキン</t>
    </rPh>
    <rPh sb="8" eb="10">
      <t>イッパン</t>
    </rPh>
    <phoneticPr fontId="2"/>
  </si>
  <si>
    <t>24 集落営農組織の特例資金</t>
    <rPh sb="3" eb="5">
      <t>シュウラク</t>
    </rPh>
    <rPh sb="5" eb="7">
      <t>エイノウ</t>
    </rPh>
    <rPh sb="7" eb="9">
      <t>ソシキ</t>
    </rPh>
    <rPh sb="10" eb="12">
      <t>トクレイ</t>
    </rPh>
    <rPh sb="12" eb="14">
      <t>シキン</t>
    </rPh>
    <phoneticPr fontId="2"/>
  </si>
  <si>
    <t>29 農業振興資金</t>
    <rPh sb="3" eb="5">
      <t>ノウギョウ</t>
    </rPh>
    <rPh sb="5" eb="7">
      <t>シンコウ</t>
    </rPh>
    <rPh sb="7" eb="9">
      <t>シキン</t>
    </rPh>
    <phoneticPr fontId="2"/>
  </si>
  <si>
    <t>借入額</t>
    <rPh sb="0" eb="3">
      <t>カリイレガク</t>
    </rPh>
    <phoneticPr fontId="2"/>
  </si>
  <si>
    <t>償還年数</t>
    <rPh sb="0" eb="2">
      <t>ショウカン</t>
    </rPh>
    <rPh sb="2" eb="4">
      <t>ネンスウ</t>
    </rPh>
    <phoneticPr fontId="2"/>
  </si>
  <si>
    <t>据置期間</t>
    <rPh sb="0" eb="2">
      <t>スエオキ</t>
    </rPh>
    <rPh sb="2" eb="4">
      <t>キカン</t>
    </rPh>
    <phoneticPr fontId="2"/>
  </si>
  <si>
    <t>年賦・半年賦</t>
    <rPh sb="0" eb="2">
      <t>ネンプ</t>
    </rPh>
    <rPh sb="3" eb="4">
      <t>ハン</t>
    </rPh>
    <rPh sb="4" eb="6">
      <t>ネンプ</t>
    </rPh>
    <phoneticPr fontId="2"/>
  </si>
  <si>
    <t>償還回数</t>
    <rPh sb="0" eb="2">
      <t>ショウカン</t>
    </rPh>
    <rPh sb="2" eb="4">
      <t>カイスウ</t>
    </rPh>
    <phoneticPr fontId="2"/>
  </si>
  <si>
    <t>回</t>
    <rPh sb="0" eb="1">
      <t>カイ</t>
    </rPh>
    <phoneticPr fontId="2"/>
  </si>
  <si>
    <t>貸付実行日</t>
    <rPh sb="0" eb="2">
      <t>カシツケ</t>
    </rPh>
    <rPh sb="2" eb="5">
      <t>ジッコウビ</t>
    </rPh>
    <phoneticPr fontId="2"/>
  </si>
  <si>
    <t>初回償還額</t>
    <rPh sb="0" eb="2">
      <t>ショカイ</t>
    </rPh>
    <rPh sb="2" eb="5">
      <t>ショウカンガク</t>
    </rPh>
    <phoneticPr fontId="2"/>
  </si>
  <si>
    <t>2回目以降償還額</t>
    <rPh sb="1" eb="3">
      <t>カイメ</t>
    </rPh>
    <rPh sb="3" eb="5">
      <t>イコウ</t>
    </rPh>
    <rPh sb="5" eb="8">
      <t>ショウカンガク</t>
    </rPh>
    <phoneticPr fontId="2"/>
  </si>
  <si>
    <t>日にち</t>
    <rPh sb="0" eb="1">
      <t>ヒ</t>
    </rPh>
    <phoneticPr fontId="2"/>
  </si>
  <si>
    <t>融資残高（円）</t>
    <rPh sb="0" eb="2">
      <t>ユウシ</t>
    </rPh>
    <rPh sb="2" eb="4">
      <t>ザンダカ</t>
    </rPh>
    <rPh sb="5" eb="6">
      <t>エン</t>
    </rPh>
    <phoneticPr fontId="2"/>
  </si>
  <si>
    <t>債務保証コード</t>
    <rPh sb="0" eb="2">
      <t>サイム</t>
    </rPh>
    <rPh sb="2" eb="4">
      <t>ホショウ</t>
    </rPh>
    <phoneticPr fontId="2"/>
  </si>
  <si>
    <t>農業支援課提出用</t>
    <rPh sb="0" eb="2">
      <t>ノウギョウ</t>
    </rPh>
    <rPh sb="2" eb="5">
      <t>シエンカ</t>
    </rPh>
    <rPh sb="5" eb="7">
      <t>テイシュツ</t>
    </rPh>
    <rPh sb="7" eb="8">
      <t>ヨウ</t>
    </rPh>
    <phoneticPr fontId="2"/>
  </si>
  <si>
    <t>・各コードは</t>
    <rPh sb="1" eb="2">
      <t>カク</t>
    </rPh>
    <phoneticPr fontId="2"/>
  </si>
  <si>
    <t>　の順になっています。</t>
    <rPh sb="2" eb="3">
      <t>ジュン</t>
    </rPh>
    <phoneticPr fontId="2"/>
  </si>
  <si>
    <t>　融資機関コード　融資機関名・利子補給する市町村名</t>
    <phoneticPr fontId="2"/>
  </si>
  <si>
    <t>　～注意点～</t>
    <rPh sb="2" eb="5">
      <t>チュウイテン</t>
    </rPh>
    <phoneticPr fontId="2"/>
  </si>
  <si>
    <t>1　あり</t>
    <phoneticPr fontId="2"/>
  </si>
  <si>
    <t>2　なし</t>
    <phoneticPr fontId="2"/>
  </si>
  <si>
    <t>畜舎（牛舎）</t>
  </si>
  <si>
    <t>畜舎（豚舎）</t>
  </si>
  <si>
    <t>畜舎（鶏舎）</t>
  </si>
  <si>
    <t>農産物乾燥施設</t>
  </si>
  <si>
    <t>たい肥舎</t>
  </si>
  <si>
    <t>農産物育成管理用施設</t>
  </si>
  <si>
    <t>サイロ</t>
  </si>
  <si>
    <t>たい肥盤</t>
  </si>
  <si>
    <t>農業用貯留槽</t>
  </si>
  <si>
    <t>果樹棚</t>
  </si>
  <si>
    <t>牧さく</t>
  </si>
  <si>
    <t>農業用索道</t>
  </si>
  <si>
    <t>排水施設</t>
  </si>
  <si>
    <t>かん水施設</t>
  </si>
  <si>
    <t>農産物処理加工施設</t>
  </si>
  <si>
    <t>農産物貯蔵施設</t>
  </si>
  <si>
    <t>農業生産資材貯蔵施設</t>
  </si>
  <si>
    <t>農業生産資材製造施設</t>
  </si>
  <si>
    <t>農機具保管修理施設</t>
  </si>
  <si>
    <t>病害虫等防除施設</t>
  </si>
  <si>
    <t>ふ卵育すう施設</t>
  </si>
  <si>
    <t>きのこ栽培施設</t>
  </si>
  <si>
    <t>家畜人工受精施設</t>
  </si>
  <si>
    <t>家畜市場施設</t>
  </si>
  <si>
    <t>家畜診療施設</t>
  </si>
  <si>
    <t>農産物販売施設</t>
  </si>
  <si>
    <t>農産物集出荷施設</t>
  </si>
  <si>
    <t>農業生産公害防止等用施設</t>
  </si>
  <si>
    <t>原動機</t>
  </si>
  <si>
    <t>揚排水用機具</t>
  </si>
  <si>
    <t>耕うん機整地用機具</t>
  </si>
  <si>
    <t>農作物育成管理用機具</t>
  </si>
  <si>
    <t>肥料調整散布用機具</t>
  </si>
  <si>
    <t>病害虫等防除用機具</t>
  </si>
  <si>
    <t>収穫調整用機具</t>
  </si>
  <si>
    <t>農産物処理加工用機具</t>
  </si>
  <si>
    <t>畜産用機具</t>
  </si>
  <si>
    <t>養蚕用機具</t>
  </si>
  <si>
    <t>運搬用機具</t>
  </si>
  <si>
    <t>農業生産公害防止等用機具</t>
  </si>
  <si>
    <t>農用地改良造成用機具</t>
  </si>
  <si>
    <t>生産・経営管理情報処理用機具</t>
  </si>
  <si>
    <t>果樹の植栽資金</t>
  </si>
  <si>
    <t>オリーブの植栽資金</t>
  </si>
  <si>
    <t>茶の植栽資金</t>
  </si>
  <si>
    <t>ホップの植栽資金</t>
  </si>
  <si>
    <t>桑の植栽資金</t>
  </si>
  <si>
    <t>アスパラガスの植栽資金</t>
  </si>
  <si>
    <t>果樹等育成資金</t>
  </si>
  <si>
    <t>花き・花木植栽育成資金</t>
  </si>
  <si>
    <t>特定永年性作物植栽育成資金</t>
  </si>
  <si>
    <t>牛（肉用素畜を除く）の購入</t>
  </si>
  <si>
    <t>馬（競争の用に供するものを除く）の購入</t>
  </si>
  <si>
    <t>めん羊（肉用素畜を除く）の購入</t>
  </si>
  <si>
    <t>山羊の購入資金</t>
  </si>
  <si>
    <t>豚（肉用素畜を除く）の購入</t>
  </si>
  <si>
    <t>繁殖用肉牛・繁殖豚の育成資金</t>
  </si>
  <si>
    <t>肥育牛の購入資金</t>
  </si>
  <si>
    <t>肥育豚の購入資金</t>
  </si>
  <si>
    <t>鶏の購入資金</t>
  </si>
  <si>
    <t>肥育牛の育成資金</t>
  </si>
  <si>
    <t>特用家畜購入資金</t>
  </si>
  <si>
    <t>小土地改良資金</t>
  </si>
  <si>
    <t>診療施設</t>
  </si>
  <si>
    <t>農村情報処理・通信施設</t>
  </si>
  <si>
    <t>水道施設</t>
  </si>
  <si>
    <t>託児施設</t>
  </si>
  <si>
    <t>研修施設</t>
  </si>
  <si>
    <t>集会施設</t>
  </si>
  <si>
    <t>農業管理センター</t>
  </si>
  <si>
    <t>ガス供給施設</t>
  </si>
  <si>
    <t>融雪・除雪用施設</t>
  </si>
  <si>
    <t>下水道施設</t>
  </si>
  <si>
    <t>農事放送施設</t>
  </si>
  <si>
    <t>農作業管理休養施設</t>
  </si>
  <si>
    <t>農業者等健康増進施設</t>
  </si>
  <si>
    <t>地域休養施設</t>
  </si>
  <si>
    <t>生活改善センター</t>
  </si>
  <si>
    <t>生活安全保護施設</t>
  </si>
  <si>
    <t>集落道</t>
  </si>
  <si>
    <t>廃棄物処理施設</t>
  </si>
  <si>
    <t>内水面養殖施設資金</t>
  </si>
  <si>
    <t>特定の農家住宅資金</t>
  </si>
  <si>
    <t>農村給排水施設資金</t>
  </si>
  <si>
    <t>長期運転資金</t>
  </si>
  <si>
    <t>セット融資</t>
  </si>
  <si>
    <t>種類コード</t>
    <rPh sb="0" eb="2">
      <t>シュルイ</t>
    </rPh>
    <phoneticPr fontId="2"/>
  </si>
  <si>
    <t>1号資金</t>
    <rPh sb="1" eb="2">
      <t>ゴウ</t>
    </rPh>
    <rPh sb="2" eb="4">
      <t>シキン</t>
    </rPh>
    <phoneticPr fontId="2"/>
  </si>
  <si>
    <t>2号資金</t>
    <rPh sb="1" eb="2">
      <t>ゴウ</t>
    </rPh>
    <rPh sb="2" eb="4">
      <t>シキン</t>
    </rPh>
    <phoneticPr fontId="2"/>
  </si>
  <si>
    <t>3号資金</t>
    <rPh sb="1" eb="2">
      <t>ゴウ</t>
    </rPh>
    <rPh sb="2" eb="4">
      <t>シキン</t>
    </rPh>
    <phoneticPr fontId="2"/>
  </si>
  <si>
    <t>4号資金</t>
    <rPh sb="1" eb="2">
      <t>ゴウ</t>
    </rPh>
    <rPh sb="2" eb="4">
      <t>シキン</t>
    </rPh>
    <phoneticPr fontId="2"/>
  </si>
  <si>
    <t>5号資金</t>
    <rPh sb="1" eb="2">
      <t>ゴウ</t>
    </rPh>
    <rPh sb="2" eb="4">
      <t>シキン</t>
    </rPh>
    <phoneticPr fontId="2"/>
  </si>
  <si>
    <t>6号資金</t>
    <rPh sb="1" eb="2">
      <t>ゴウ</t>
    </rPh>
    <rPh sb="2" eb="4">
      <t>シキン</t>
    </rPh>
    <phoneticPr fontId="2"/>
  </si>
  <si>
    <t>7号資金</t>
    <rPh sb="1" eb="2">
      <t>ゴウ</t>
    </rPh>
    <rPh sb="2" eb="4">
      <t>シキン</t>
    </rPh>
    <phoneticPr fontId="2"/>
  </si>
  <si>
    <t>8号資金</t>
    <rPh sb="1" eb="2">
      <t>ゴウ</t>
    </rPh>
    <rPh sb="2" eb="4">
      <t>シキン</t>
    </rPh>
    <phoneticPr fontId="2"/>
  </si>
  <si>
    <t>9号資金</t>
    <rPh sb="1" eb="2">
      <t>ゴウ</t>
    </rPh>
    <rPh sb="2" eb="4">
      <t>シキン</t>
    </rPh>
    <phoneticPr fontId="2"/>
  </si>
  <si>
    <t>農舎</t>
    <phoneticPr fontId="2"/>
  </si>
  <si>
    <t>蚕室</t>
    <phoneticPr fontId="2"/>
  </si>
  <si>
    <t>（あて先）</t>
    <rPh sb="3" eb="4">
      <t>サキ</t>
    </rPh>
    <phoneticPr fontId="2"/>
  </si>
  <si>
    <t>基準
金利</t>
    <rPh sb="0" eb="2">
      <t>キジュン</t>
    </rPh>
    <rPh sb="3" eb="5">
      <t>キンリ</t>
    </rPh>
    <phoneticPr fontId="2"/>
  </si>
  <si>
    <t>貸付
利率</t>
    <rPh sb="0" eb="2">
      <t>カシツケ</t>
    </rPh>
    <rPh sb="3" eb="5">
      <t>リリツ</t>
    </rPh>
    <phoneticPr fontId="2"/>
  </si>
  <si>
    <t>農林振興センター用</t>
    <rPh sb="0" eb="2">
      <t>ノウリン</t>
    </rPh>
    <rPh sb="2" eb="4">
      <t>シンコウ</t>
    </rPh>
    <rPh sb="8" eb="9">
      <t>ヨウ</t>
    </rPh>
    <phoneticPr fontId="2"/>
  </si>
  <si>
    <t>市町村用</t>
    <rPh sb="0" eb="3">
      <t>シチョウソン</t>
    </rPh>
    <rPh sb="3" eb="4">
      <t>ヨウ</t>
    </rPh>
    <phoneticPr fontId="2"/>
  </si>
  <si>
    <t>資金</t>
    <rPh sb="0" eb="2">
      <t>シキン</t>
    </rPh>
    <phoneticPr fontId="2"/>
  </si>
  <si>
    <t>融資機関控</t>
    <rPh sb="0" eb="2">
      <t>ユウシ</t>
    </rPh>
    <rPh sb="2" eb="4">
      <t>キカン</t>
    </rPh>
    <rPh sb="4" eb="5">
      <t>ヒカ</t>
    </rPh>
    <phoneticPr fontId="2"/>
  </si>
  <si>
    <t>22 認定農業者の特例資金</t>
    <rPh sb="3" eb="5">
      <t>ニンテイ</t>
    </rPh>
    <rPh sb="5" eb="8">
      <t>ノウギョウシャ</t>
    </rPh>
    <rPh sb="9" eb="11">
      <t>トクレイ</t>
    </rPh>
    <rPh sb="11" eb="13">
      <t>シキン</t>
    </rPh>
    <phoneticPr fontId="2"/>
  </si>
  <si>
    <t>23 ５号資金（認定農業者特例）</t>
    <rPh sb="4" eb="5">
      <t>ゴウ</t>
    </rPh>
    <rPh sb="5" eb="7">
      <t>シキン</t>
    </rPh>
    <rPh sb="8" eb="10">
      <t>ニンテイ</t>
    </rPh>
    <rPh sb="10" eb="13">
      <t>ノウギョウシャ</t>
    </rPh>
    <rPh sb="13" eb="15">
      <t>トクレイ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</si>
  <si>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</si>
  <si>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年賦</t>
    <rPh sb="0" eb="2">
      <t>ネンプ</t>
    </rPh>
    <phoneticPr fontId="2"/>
  </si>
  <si>
    <t>（据置あり）</t>
    <phoneticPr fontId="2"/>
  </si>
  <si>
    <t>（据置なし）</t>
    <phoneticPr fontId="2"/>
  </si>
  <si>
    <t>半年賦</t>
    <rPh sb="0" eb="1">
      <t>ハン</t>
    </rPh>
    <rPh sb="1" eb="3">
      <t>ネンプ</t>
    </rPh>
    <phoneticPr fontId="2"/>
  </si>
  <si>
    <t>償還額（円）</t>
    <rPh sb="0" eb="3">
      <t>ショウカンガク</t>
    </rPh>
    <rPh sb="4" eb="5">
      <t>エン</t>
    </rPh>
    <phoneticPr fontId="2"/>
  </si>
  <si>
    <t>経過年数</t>
    <rPh sb="0" eb="2">
      <t>ケイカ</t>
    </rPh>
    <rPh sb="2" eb="4">
      <t>ネンスウ</t>
    </rPh>
    <phoneticPr fontId="2"/>
  </si>
  <si>
    <t>観光農業施設</t>
    <rPh sb="0" eb="2">
      <t>カンコウ</t>
    </rPh>
    <rPh sb="2" eb="4">
      <t>ノウギョウ</t>
    </rPh>
    <rPh sb="4" eb="6">
      <t>シセツ</t>
    </rPh>
    <phoneticPr fontId="2"/>
  </si>
  <si>
    <t>未利用資源活用施設</t>
    <rPh sb="0" eb="3">
      <t>ミリヨウ</t>
    </rPh>
    <rPh sb="3" eb="5">
      <t>シゲン</t>
    </rPh>
    <rPh sb="5" eb="7">
      <t>カツヨウ</t>
    </rPh>
    <rPh sb="7" eb="9">
      <t>シセツ</t>
    </rPh>
    <phoneticPr fontId="2"/>
  </si>
  <si>
    <t>農業労働力確保施設</t>
    <rPh sb="0" eb="2">
      <t>ノウギョウ</t>
    </rPh>
    <rPh sb="2" eb="5">
      <t>ロウドウリョク</t>
    </rPh>
    <rPh sb="5" eb="7">
      <t>カクホ</t>
    </rPh>
    <rPh sb="7" eb="9">
      <t>シセツ</t>
    </rPh>
    <phoneticPr fontId="2"/>
  </si>
  <si>
    <t>観光農業用機具</t>
    <rPh sb="0" eb="2">
      <t>カンコウ</t>
    </rPh>
    <rPh sb="2" eb="5">
      <t>ノウギョウヨウ</t>
    </rPh>
    <rPh sb="5" eb="7">
      <t>キグ</t>
    </rPh>
    <phoneticPr fontId="2"/>
  </si>
  <si>
    <t>未利用資源活用用機具</t>
    <rPh sb="0" eb="3">
      <t>ミリヨウ</t>
    </rPh>
    <rPh sb="3" eb="5">
      <t>シゲン</t>
    </rPh>
    <rPh sb="5" eb="7">
      <t>カツヨウ</t>
    </rPh>
    <rPh sb="7" eb="8">
      <t>ヨウ</t>
    </rPh>
    <rPh sb="8" eb="10">
      <t>キグ</t>
    </rPh>
    <phoneticPr fontId="2"/>
  </si>
  <si>
    <t>※この償還表に疑義がある場合は農業支援課までご連絡ください。</t>
    <rPh sb="3" eb="5">
      <t>ショウカン</t>
    </rPh>
    <rPh sb="5" eb="6">
      <t>ヒョウ</t>
    </rPh>
    <rPh sb="7" eb="9">
      <t>ギギ</t>
    </rPh>
    <rPh sb="12" eb="14">
      <t>バアイ</t>
    </rPh>
    <rPh sb="15" eb="17">
      <t>ノウギョウ</t>
    </rPh>
    <rPh sb="17" eb="20">
      <t>シエンカ</t>
    </rPh>
    <rPh sb="23" eb="25">
      <t>レンラク</t>
    </rPh>
    <phoneticPr fontId="2"/>
  </si>
  <si>
    <t>債務
保証</t>
    <rPh sb="0" eb="2">
      <t>サイム</t>
    </rPh>
    <rPh sb="3" eb="5">
      <t>ホショウ</t>
    </rPh>
    <phoneticPr fontId="2"/>
  </si>
  <si>
    <t>第１回
（千円）</t>
    <rPh sb="0" eb="1">
      <t>ダイ</t>
    </rPh>
    <rPh sb="2" eb="3">
      <t>カイ</t>
    </rPh>
    <rPh sb="5" eb="7">
      <t>センエン</t>
    </rPh>
    <phoneticPr fontId="2"/>
  </si>
  <si>
    <t>第２回以降
（千円）</t>
    <rPh sb="0" eb="1">
      <t>ダイ</t>
    </rPh>
    <rPh sb="2" eb="3">
      <t>カイ</t>
    </rPh>
    <rPh sb="3" eb="5">
      <t>イコウ</t>
    </rPh>
    <rPh sb="7" eb="9">
      <t>センエン</t>
    </rPh>
    <phoneticPr fontId="2"/>
  </si>
  <si>
    <t>埼玉県知事  大野　元裕</t>
    <rPh sb="0" eb="3">
      <t>サイタマケン</t>
    </rPh>
    <rPh sb="3" eb="5">
      <t>チジ</t>
    </rPh>
    <rPh sb="7" eb="9">
      <t>オオノ</t>
    </rPh>
    <rPh sb="10" eb="12">
      <t>モトヒロ</t>
    </rPh>
    <phoneticPr fontId="2"/>
  </si>
  <si>
    <t>ｶﾀｶﾅ</t>
    <phoneticPr fontId="2"/>
  </si>
  <si>
    <r>
      <t>年</t>
    </r>
    <r>
      <rPr>
        <b/>
        <sz val="3"/>
        <rFont val="BIZ UDPゴシック"/>
        <family val="3"/>
        <charset val="128"/>
      </rPr>
      <t>・</t>
    </r>
    <r>
      <rPr>
        <b/>
        <sz val="6"/>
        <rFont val="BIZ UDPゴシック"/>
        <family val="3"/>
        <charset val="128"/>
      </rPr>
      <t>半年賦</t>
    </r>
    <rPh sb="0" eb="1">
      <t>ネン</t>
    </rPh>
    <rPh sb="2" eb="3">
      <t>ハン</t>
    </rPh>
    <rPh sb="3" eb="5">
      <t>ネンプ</t>
    </rPh>
    <phoneticPr fontId="2"/>
  </si>
  <si>
    <t>担当者記名</t>
    <rPh sb="0" eb="2">
      <t>タントウ</t>
    </rPh>
    <rPh sb="3" eb="5">
      <t>キメイ</t>
    </rPh>
    <phoneticPr fontId="2"/>
  </si>
  <si>
    <t>その１</t>
    <phoneticPr fontId="2"/>
  </si>
  <si>
    <t>その２</t>
    <phoneticPr fontId="2"/>
  </si>
  <si>
    <t>　 次の貸付けについて、貴県との利子補給契約に基づき利子補給を受けたいので
 　その承認を申請します。</t>
    <rPh sb="2" eb="3">
      <t>ツギ</t>
    </rPh>
    <rPh sb="4" eb="6">
      <t>カシツケ</t>
    </rPh>
    <rPh sb="12" eb="13">
      <t>キケン</t>
    </rPh>
    <rPh sb="13" eb="14">
      <t>ケン</t>
    </rPh>
    <rPh sb="16" eb="18">
      <t>リシ</t>
    </rPh>
    <rPh sb="18" eb="20">
      <t>ホキュウ</t>
    </rPh>
    <rPh sb="20" eb="22">
      <t>ケイヤク</t>
    </rPh>
    <rPh sb="23" eb="24">
      <t>モト</t>
    </rPh>
    <rPh sb="26" eb="28">
      <t>リシ</t>
    </rPh>
    <rPh sb="28" eb="30">
      <t>ホキュウ</t>
    </rPh>
    <rPh sb="31" eb="32">
      <t>ウ</t>
    </rPh>
    <rPh sb="42" eb="44">
      <t>ショウニン</t>
    </rPh>
    <rPh sb="45" eb="47">
      <t>シンセイ</t>
    </rPh>
    <phoneticPr fontId="2"/>
  </si>
  <si>
    <t>100　さいたま市</t>
    <phoneticPr fontId="2"/>
  </si>
  <si>
    <t>201　川越市</t>
    <phoneticPr fontId="2"/>
  </si>
  <si>
    <t>202　熊谷市</t>
    <phoneticPr fontId="2"/>
  </si>
  <si>
    <t>203　川口市</t>
    <phoneticPr fontId="2"/>
  </si>
  <si>
    <t>206　行田市</t>
    <phoneticPr fontId="2"/>
  </si>
  <si>
    <t>207　秩父市</t>
    <phoneticPr fontId="2"/>
  </si>
  <si>
    <t>208　所沢市</t>
    <phoneticPr fontId="2"/>
  </si>
  <si>
    <t>NH　農事組合法人</t>
    <rPh sb="3" eb="5">
      <t>ノウジ</t>
    </rPh>
    <rPh sb="5" eb="7">
      <t>クミアイ</t>
    </rPh>
    <rPh sb="7" eb="9">
      <t>ホウジン</t>
    </rPh>
    <phoneticPr fontId="2"/>
  </si>
  <si>
    <t>SH　社団法人</t>
    <rPh sb="3" eb="5">
      <t>シャダン</t>
    </rPh>
    <rPh sb="5" eb="7">
      <t>ホウジン</t>
    </rPh>
    <phoneticPr fontId="2"/>
  </si>
  <si>
    <t>ZH　財団法人</t>
    <rPh sb="3" eb="5">
      <t>ザイダン</t>
    </rPh>
    <rPh sb="5" eb="7">
      <t>ホウジン</t>
    </rPh>
    <phoneticPr fontId="2"/>
  </si>
  <si>
    <t>YK　有限会社</t>
    <rPh sb="3" eb="5">
      <t>ユウゲン</t>
    </rPh>
    <rPh sb="5" eb="7">
      <t>カイシャ</t>
    </rPh>
    <phoneticPr fontId="2"/>
  </si>
  <si>
    <t>KK　株式会社</t>
    <rPh sb="3" eb="5">
      <t>カブシキ</t>
    </rPh>
    <rPh sb="5" eb="7">
      <t>カイシャ</t>
    </rPh>
    <phoneticPr fontId="2"/>
  </si>
  <si>
    <t>DK　合同会社</t>
    <rPh sb="3" eb="5">
      <t>ゴウドウ</t>
    </rPh>
    <rPh sb="5" eb="7">
      <t>カイシャ</t>
    </rPh>
    <phoneticPr fontId="2"/>
  </si>
  <si>
    <t>GK　合名会社</t>
    <rPh sb="3" eb="5">
      <t>ゴウメイ</t>
    </rPh>
    <rPh sb="5" eb="7">
      <t>カイシャ</t>
    </rPh>
    <phoneticPr fontId="2"/>
  </si>
  <si>
    <t>SK　合資会社</t>
    <rPh sb="3" eb="5">
      <t>ゴウシ</t>
    </rPh>
    <rPh sb="5" eb="7">
      <t>カイシャ</t>
    </rPh>
    <phoneticPr fontId="2"/>
  </si>
  <si>
    <t>TK　土地改良区（土地改良区連合会）</t>
    <rPh sb="3" eb="5">
      <t>トチ</t>
    </rPh>
    <rPh sb="5" eb="8">
      <t>カイリョウク</t>
    </rPh>
    <rPh sb="9" eb="11">
      <t>トチ</t>
    </rPh>
    <rPh sb="11" eb="14">
      <t>カイリョウク</t>
    </rPh>
    <rPh sb="14" eb="17">
      <t>レンゴウカイ</t>
    </rPh>
    <phoneticPr fontId="2"/>
  </si>
  <si>
    <t>NK　農業協同組合</t>
    <rPh sb="3" eb="5">
      <t>ノウギョウ</t>
    </rPh>
    <rPh sb="5" eb="7">
      <t>キョウドウ</t>
    </rPh>
    <rPh sb="7" eb="9">
      <t>クミアイ</t>
    </rPh>
    <phoneticPr fontId="2"/>
  </si>
  <si>
    <t>NR　農業協同組合連合会</t>
    <rPh sb="3" eb="5">
      <t>ノウギョウ</t>
    </rPh>
    <rPh sb="5" eb="7">
      <t>キョウドウ</t>
    </rPh>
    <rPh sb="7" eb="9">
      <t>クミアイ</t>
    </rPh>
    <rPh sb="9" eb="12">
      <t>レンゴウカイ</t>
    </rPh>
    <phoneticPr fontId="2"/>
  </si>
  <si>
    <t>KS　農業共済組合</t>
    <rPh sb="3" eb="5">
      <t>ノウギョウ</t>
    </rPh>
    <rPh sb="5" eb="7">
      <t>キョウサイ</t>
    </rPh>
    <rPh sb="7" eb="9">
      <t>クミアイ</t>
    </rPh>
    <phoneticPr fontId="2"/>
  </si>
  <si>
    <t>KR　農業共済組合連合会</t>
    <rPh sb="3" eb="5">
      <t>ノウギョウ</t>
    </rPh>
    <rPh sb="5" eb="7">
      <t>キョウサイ</t>
    </rPh>
    <rPh sb="7" eb="9">
      <t>クミアイ</t>
    </rPh>
    <rPh sb="9" eb="12">
      <t>レンゴウカイ</t>
    </rPh>
    <phoneticPr fontId="2"/>
  </si>
  <si>
    <t>209　飯能市</t>
    <phoneticPr fontId="2"/>
  </si>
  <si>
    <t>210　加須市</t>
    <phoneticPr fontId="2"/>
  </si>
  <si>
    <t>211　本庄市</t>
    <phoneticPr fontId="2"/>
  </si>
  <si>
    <t>212　東松山市</t>
    <phoneticPr fontId="2"/>
  </si>
  <si>
    <t>214　春日部市</t>
    <phoneticPr fontId="2"/>
  </si>
  <si>
    <t>215　狭山市</t>
    <phoneticPr fontId="2"/>
  </si>
  <si>
    <t>216　羽生市</t>
    <phoneticPr fontId="2"/>
  </si>
  <si>
    <t>217　鴻巣市</t>
    <phoneticPr fontId="2"/>
  </si>
  <si>
    <t>218　深谷市</t>
    <phoneticPr fontId="2"/>
  </si>
  <si>
    <t>219　上尾市</t>
    <phoneticPr fontId="2"/>
  </si>
  <si>
    <t>221　草加市</t>
    <phoneticPr fontId="2"/>
  </si>
  <si>
    <t>222　越谷市</t>
    <phoneticPr fontId="2"/>
  </si>
  <si>
    <t>223　蕨市</t>
    <phoneticPr fontId="2"/>
  </si>
  <si>
    <t>224　戸田市</t>
    <phoneticPr fontId="2"/>
  </si>
  <si>
    <t>225　入間市</t>
    <phoneticPr fontId="2"/>
  </si>
  <si>
    <t>227　朝霞市</t>
    <phoneticPr fontId="2"/>
  </si>
  <si>
    <t>228　志木市</t>
    <phoneticPr fontId="2"/>
  </si>
  <si>
    <t>229　和光市</t>
    <phoneticPr fontId="2"/>
  </si>
  <si>
    <t>230　新座市</t>
    <phoneticPr fontId="2"/>
  </si>
  <si>
    <t>232　久喜市</t>
    <phoneticPr fontId="2"/>
  </si>
  <si>
    <t>231　桶川市</t>
    <phoneticPr fontId="2"/>
  </si>
  <si>
    <t>233　北本市</t>
    <phoneticPr fontId="2"/>
  </si>
  <si>
    <t>234　八潮市</t>
    <phoneticPr fontId="2"/>
  </si>
  <si>
    <t>235　富士見市</t>
    <phoneticPr fontId="2"/>
  </si>
  <si>
    <t>237　三郷市</t>
    <phoneticPr fontId="2"/>
  </si>
  <si>
    <t>238　蓮田市</t>
    <phoneticPr fontId="2"/>
  </si>
  <si>
    <t>239　坂戸市</t>
    <phoneticPr fontId="2"/>
  </si>
  <si>
    <t>240　幸手市</t>
    <phoneticPr fontId="2"/>
  </si>
  <si>
    <t>241　鶴ヶ島市</t>
    <phoneticPr fontId="2"/>
  </si>
  <si>
    <t>242　日高市</t>
    <phoneticPr fontId="2"/>
  </si>
  <si>
    <t>243　吉川市</t>
    <phoneticPr fontId="2"/>
  </si>
  <si>
    <t>245　ふじみ野市</t>
    <phoneticPr fontId="2"/>
  </si>
  <si>
    <t>246　白岡市</t>
    <phoneticPr fontId="2"/>
  </si>
  <si>
    <t>301　伊奈町</t>
    <phoneticPr fontId="2"/>
  </si>
  <si>
    <t>324　三芳町</t>
    <phoneticPr fontId="2"/>
  </si>
  <si>
    <t>326　毛呂山町</t>
    <phoneticPr fontId="2"/>
  </si>
  <si>
    <t>327　越生町</t>
    <phoneticPr fontId="2"/>
  </si>
  <si>
    <t>341　滑川町</t>
    <phoneticPr fontId="2"/>
  </si>
  <si>
    <t>346　川島町</t>
    <phoneticPr fontId="2"/>
  </si>
  <si>
    <t>342　嵐山町</t>
    <phoneticPr fontId="2"/>
  </si>
  <si>
    <t>343　小川町</t>
    <phoneticPr fontId="2"/>
  </si>
  <si>
    <t>347　吉見町</t>
    <phoneticPr fontId="2"/>
  </si>
  <si>
    <t>348　鳩山町</t>
    <phoneticPr fontId="2"/>
  </si>
  <si>
    <t>349　ときがわ町</t>
    <phoneticPr fontId="2"/>
  </si>
  <si>
    <t>361　横瀬町</t>
    <phoneticPr fontId="2"/>
  </si>
  <si>
    <t>362　皆野町</t>
    <phoneticPr fontId="2"/>
  </si>
  <si>
    <t>363　長瀞町</t>
    <phoneticPr fontId="2"/>
  </si>
  <si>
    <t>365　小鹿野町</t>
    <phoneticPr fontId="2"/>
  </si>
  <si>
    <t>369　東秩父村</t>
    <phoneticPr fontId="2"/>
  </si>
  <si>
    <t>381　美里町</t>
    <phoneticPr fontId="2"/>
  </si>
  <si>
    <t>383　神川町</t>
    <phoneticPr fontId="2"/>
  </si>
  <si>
    <t>385　上里町</t>
    <phoneticPr fontId="2"/>
  </si>
  <si>
    <t>408　寄居町</t>
    <phoneticPr fontId="2"/>
  </si>
  <si>
    <t>442　宮代町</t>
    <phoneticPr fontId="2"/>
  </si>
  <si>
    <t>464　杉戸町</t>
    <phoneticPr fontId="2"/>
  </si>
  <si>
    <t>465　松伏町</t>
    <phoneticPr fontId="2"/>
  </si>
  <si>
    <t>資金コード</t>
    <rPh sb="0" eb="2">
      <t>シキン</t>
    </rPh>
    <phoneticPr fontId="2"/>
  </si>
  <si>
    <t>　 次の貸付けについて、貴県との利子補給契約に基づき利子補給を受けたいので
　 その承認を申請します。</t>
    <rPh sb="2" eb="3">
      <t>ツギ</t>
    </rPh>
    <rPh sb="4" eb="6">
      <t>カシツケ</t>
    </rPh>
    <rPh sb="12" eb="13">
      <t>キケン</t>
    </rPh>
    <rPh sb="13" eb="14">
      <t>ケン</t>
    </rPh>
    <rPh sb="16" eb="18">
      <t>リシ</t>
    </rPh>
    <rPh sb="18" eb="20">
      <t>ホキュウ</t>
    </rPh>
    <rPh sb="20" eb="22">
      <t>ケイヤク</t>
    </rPh>
    <rPh sb="23" eb="24">
      <t>モト</t>
    </rPh>
    <rPh sb="26" eb="28">
      <t>リシ</t>
    </rPh>
    <rPh sb="28" eb="30">
      <t>ホキュウ</t>
    </rPh>
    <rPh sb="31" eb="32">
      <t>ウ</t>
    </rPh>
    <rPh sb="42" eb="44">
      <t>ショウニン</t>
    </rPh>
    <rPh sb="45" eb="47">
      <t>シンセイ</t>
    </rPh>
    <phoneticPr fontId="2"/>
  </si>
  <si>
    <t>0１ 個人（認定農業者含む）</t>
    <rPh sb="3" eb="5">
      <t>コジン</t>
    </rPh>
    <rPh sb="6" eb="8">
      <t>ニンテイ</t>
    </rPh>
    <rPh sb="8" eb="11">
      <t>ノウギョウシャ</t>
    </rPh>
    <rPh sb="11" eb="12">
      <t>フク</t>
    </rPh>
    <phoneticPr fontId="2"/>
  </si>
  <si>
    <t>0３ 共同利用（農協）</t>
    <rPh sb="3" eb="5">
      <t>キョウドウ</t>
    </rPh>
    <rPh sb="5" eb="7">
      <t>リヨウ</t>
    </rPh>
    <rPh sb="8" eb="10">
      <t>ノウキョウ</t>
    </rPh>
    <phoneticPr fontId="2"/>
  </si>
  <si>
    <t>0４ 共同利用（任意団体）</t>
    <rPh sb="3" eb="5">
      <t>キョウドウ</t>
    </rPh>
    <rPh sb="5" eb="7">
      <t>リヨウ</t>
    </rPh>
    <rPh sb="8" eb="10">
      <t>ニンイ</t>
    </rPh>
    <rPh sb="10" eb="12">
      <t>ダンタイ</t>
    </rPh>
    <phoneticPr fontId="2"/>
  </si>
  <si>
    <t>0５ 共同利用（その他）</t>
    <rPh sb="3" eb="5">
      <t>キョウドウ</t>
    </rPh>
    <rPh sb="5" eb="7">
      <t>リヨウ</t>
    </rPh>
    <rPh sb="10" eb="11">
      <t>タ</t>
    </rPh>
    <phoneticPr fontId="2"/>
  </si>
  <si>
    <t>0８ 認定新規就農者（個人）</t>
    <rPh sb="3" eb="5">
      <t>ニンテイ</t>
    </rPh>
    <rPh sb="5" eb="7">
      <t>シンキ</t>
    </rPh>
    <rPh sb="7" eb="10">
      <t>シュウノウシャ</t>
    </rPh>
    <rPh sb="11" eb="13">
      <t>コジン</t>
    </rPh>
    <phoneticPr fontId="2"/>
  </si>
  <si>
    <t>　 次の貸付けについて、貴市（町村）との利子補給契約に基づき利子補給を受けたいので
　 その承認を申請します。</t>
    <rPh sb="2" eb="3">
      <t>ツギ</t>
    </rPh>
    <rPh sb="4" eb="6">
      <t>カシツケ</t>
    </rPh>
    <rPh sb="12" eb="13">
      <t>キケン</t>
    </rPh>
    <rPh sb="15" eb="17">
      <t>チョウソン</t>
    </rPh>
    <rPh sb="20" eb="22">
      <t>リシ</t>
    </rPh>
    <rPh sb="22" eb="24">
      <t>ホキュウ</t>
    </rPh>
    <rPh sb="24" eb="26">
      <t>ケイヤク</t>
    </rPh>
    <rPh sb="27" eb="28">
      <t>モト</t>
    </rPh>
    <rPh sb="30" eb="32">
      <t>リシ</t>
    </rPh>
    <rPh sb="32" eb="34">
      <t>ホキュウ</t>
    </rPh>
    <rPh sb="35" eb="36">
      <t>ウ</t>
    </rPh>
    <rPh sb="46" eb="48">
      <t>ショウニン</t>
    </rPh>
    <rPh sb="49" eb="51">
      <t>シンセイ</t>
    </rPh>
    <phoneticPr fontId="2"/>
  </si>
  <si>
    <t>1515 ふかや（榛沢）・深谷市</t>
    <phoneticPr fontId="2"/>
  </si>
  <si>
    <t>6171武銀入間支店（東松山）</t>
    <rPh sb="11" eb="14">
      <t>ヒガシマツヤマ</t>
    </rPh>
    <phoneticPr fontId="2"/>
  </si>
  <si>
    <t>無利子化措置を受ける見込みの場合は、数字の前に「＊」を付ける。【例：＊0.16】</t>
    <rPh sb="0" eb="4">
      <t>ムリシカ</t>
    </rPh>
    <rPh sb="4" eb="6">
      <t>ソチ</t>
    </rPh>
    <rPh sb="7" eb="8">
      <t>ウ</t>
    </rPh>
    <rPh sb="10" eb="12">
      <t>ミコ</t>
    </rPh>
    <rPh sb="14" eb="16">
      <t>バアイ</t>
    </rPh>
    <rPh sb="18" eb="20">
      <t>スウジ</t>
    </rPh>
    <rPh sb="21" eb="22">
      <t>マエ</t>
    </rPh>
    <rPh sb="27" eb="28">
      <t>ツ</t>
    </rPh>
    <rPh sb="32" eb="3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</si>
</sst>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yyyy/m/d;@"/>
    <numFmt numFmtId="178" formatCode="0;\-0;;@"/>
    <numFmt numFmtId="179" formatCode="#"/>
    <numFmt numFmtId="180" formatCode="##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6"/>
      <name val="BIZ UDPゴシック"/>
      <family val="3"/>
      <charset val="128"/>
    </font>
    <font>
      <sz val="20"/>
      <name val="BIZ UDPゴシック"/>
      <family val="3"/>
      <charset val="128"/>
    </font>
    <font>
      <sz val="22"/>
      <name val="BIZ UDPゴシック"/>
      <family val="3"/>
      <charset val="128"/>
    </font>
    <font>
      <sz val="18"/>
      <name val="BIZ UDPゴシック"/>
      <family val="3"/>
      <charset val="128"/>
    </font>
    <font>
      <b/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b/>
      <sz val="3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indexed="81"/>
      <name val="Yu Gothic UI"/>
      <family val="3"/>
      <charset val="128"/>
    </font>
    <font>
      <sz val="8"/>
      <color indexed="81"/>
      <name val="Yu Gothic UI"/>
      <family val="3"/>
      <charset val="128"/>
    </font>
    <font>
      <b/>
      <sz val="12"/>
      <color indexed="81"/>
      <name val="Yu Gothic UI"/>
      <family val="3"/>
      <charset val="128"/>
    </font>
    <font>
      <sz val="10"/>
      <color indexed="81"/>
      <name val="Yu Gothic UI"/>
      <family val="3"/>
      <charset val="128"/>
    </font>
    <font>
      <b/>
      <sz val="16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6600"/>
      </bottom>
      <diagonal/>
    </border>
    <border>
      <left/>
      <right style="thin">
        <color rgb="FF0066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6600"/>
      </bottom>
      <diagonal/>
    </border>
    <border>
      <left/>
      <right style="thin">
        <color indexed="64"/>
      </right>
      <top/>
      <bottom style="thin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51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38" fontId="0" fillId="0" borderId="4" xfId="0" applyNumberFormat="1" applyBorder="1" applyAlignment="1">
      <alignment vertical="center"/>
    </xf>
    <xf numFmtId="38" fontId="0" fillId="0" borderId="4" xfId="1" applyFont="1" applyBorder="1" applyAlignment="1">
      <alignment vertical="center"/>
    </xf>
    <xf numFmtId="176" fontId="0" fillId="0" borderId="4" xfId="0" applyNumberFormat="1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38" fontId="0" fillId="0" borderId="4" xfId="1" applyFont="1" applyBorder="1"/>
    <xf numFmtId="14" fontId="0" fillId="0" borderId="4" xfId="0" applyNumberFormat="1" applyBorder="1" applyAlignment="1">
      <alignment horizontal="center" vertical="center"/>
    </xf>
    <xf numFmtId="38" fontId="0" fillId="0" borderId="4" xfId="1" applyFont="1" applyBorder="1" applyAlignment="1">
      <alignment horizontal="center"/>
    </xf>
    <xf numFmtId="38" fontId="0" fillId="0" borderId="4" xfId="0" applyNumberFormat="1" applyBorder="1"/>
    <xf numFmtId="14" fontId="0" fillId="0" borderId="4" xfId="0" applyNumberFormat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38" fontId="5" fillId="0" borderId="6" xfId="1" quotePrefix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8" xfId="0" applyBorder="1" applyAlignment="1">
      <alignment vertical="center"/>
    </xf>
    <xf numFmtId="38" fontId="5" fillId="0" borderId="0" xfId="1" applyFont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5" xfId="0" applyFill="1" applyBorder="1" applyAlignment="1">
      <alignment horizontal="right" vertical="center"/>
    </xf>
    <xf numFmtId="38" fontId="5" fillId="0" borderId="5" xfId="1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0" fontId="0" fillId="3" borderId="5" xfId="0" applyFill="1" applyBorder="1" applyAlignment="1"/>
    <xf numFmtId="0" fontId="0" fillId="3" borderId="3" xfId="0" applyFill="1" applyBorder="1" applyAlignment="1"/>
    <xf numFmtId="0" fontId="0" fillId="4" borderId="5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5" xfId="0" applyFill="1" applyBorder="1" applyAlignment="1"/>
    <xf numFmtId="0" fontId="0" fillId="4" borderId="3" xfId="0" applyFill="1" applyBorder="1" applyAlignment="1"/>
    <xf numFmtId="0" fontId="0" fillId="5" borderId="6" xfId="0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38" fontId="0" fillId="0" borderId="4" xfId="1" applyFont="1" applyFill="1" applyBorder="1" applyAlignment="1">
      <alignment horizontal="center"/>
    </xf>
    <xf numFmtId="0" fontId="6" fillId="0" borderId="0" xfId="0" applyFont="1"/>
    <xf numFmtId="177" fontId="6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shrinkToFit="1"/>
    </xf>
    <xf numFmtId="0" fontId="15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/>
    <xf numFmtId="0" fontId="16" fillId="0" borderId="0" xfId="0" applyFont="1" applyBorder="1" applyAlignment="1">
      <alignment horizontal="center" shrinkToFit="1"/>
    </xf>
    <xf numFmtId="0" fontId="11" fillId="0" borderId="0" xfId="0" applyFont="1" applyBorder="1" applyAlignment="1" applyProtection="1">
      <alignment horizontal="left" vertical="distributed" shrinkToFit="1"/>
      <protection locked="0"/>
    </xf>
    <xf numFmtId="0" fontId="11" fillId="0" borderId="0" xfId="0" applyFont="1" applyBorder="1" applyAlignment="1" applyProtection="1">
      <alignment horizontal="center" shrinkToFit="1"/>
      <protection locked="0"/>
    </xf>
    <xf numFmtId="0" fontId="16" fillId="0" borderId="0" xfId="0" applyFont="1" applyBorder="1" applyAlignment="1">
      <alignment horizontal="left" vertical="distributed" wrapText="1"/>
    </xf>
    <xf numFmtId="0" fontId="16" fillId="0" borderId="0" xfId="0" applyFont="1" applyBorder="1" applyAlignment="1">
      <alignment horizontal="left" vertical="distributed" shrinkToFit="1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 shrinkToFit="1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 applyProtection="1">
      <alignment horizontal="left" vertical="distributed"/>
      <protection locked="0"/>
    </xf>
    <xf numFmtId="0" fontId="11" fillId="0" borderId="0" xfId="0" applyFont="1" applyBorder="1" applyAlignment="1" applyProtection="1">
      <alignment horizontal="left" vertical="distributed" wrapText="1"/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1" xfId="2" applyFont="1" applyFill="1" applyBorder="1" applyAlignment="1"/>
    <xf numFmtId="0" fontId="12" fillId="0" borderId="0" xfId="0" applyFont="1"/>
    <xf numFmtId="0" fontId="12" fillId="0" borderId="0" xfId="0" applyFont="1" applyAlignment="1">
      <alignment shrinkToFit="1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0" fontId="12" fillId="0" borderId="0" xfId="0" applyFont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11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178" fontId="11" fillId="0" borderId="0" xfId="0" applyNumberFormat="1" applyFont="1" applyBorder="1" applyAlignment="1" applyProtection="1"/>
    <xf numFmtId="0" fontId="15" fillId="0" borderId="0" xfId="0" applyFont="1" applyBorder="1" applyAlignment="1" applyProtection="1"/>
    <xf numFmtId="0" fontId="16" fillId="0" borderId="0" xfId="0" applyFont="1" applyBorder="1" applyAlignment="1" applyProtection="1">
      <alignment horizontal="center"/>
    </xf>
    <xf numFmtId="178" fontId="16" fillId="0" borderId="0" xfId="0" applyNumberFormat="1" applyFont="1" applyBorder="1" applyAlignment="1" applyProtection="1"/>
    <xf numFmtId="178" fontId="11" fillId="0" borderId="0" xfId="0" applyNumberFormat="1" applyFont="1" applyBorder="1" applyAlignment="1" applyProtection="1">
      <alignment vertical="distributed" wrapText="1"/>
    </xf>
    <xf numFmtId="0" fontId="16" fillId="0" borderId="0" xfId="0" applyFont="1" applyBorder="1" applyAlignment="1" applyProtection="1">
      <alignment horizontal="left" vertical="distributed" wrapText="1"/>
    </xf>
    <xf numFmtId="0" fontId="19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shrinkToFit="1"/>
    </xf>
    <xf numFmtId="0" fontId="20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distributed"/>
    </xf>
    <xf numFmtId="0" fontId="11" fillId="0" borderId="0" xfId="0" applyFont="1" applyBorder="1" applyAlignment="1" applyProtection="1">
      <alignment horizontal="left" vertical="distributed" wrapText="1"/>
    </xf>
    <xf numFmtId="0" fontId="11" fillId="0" borderId="0" xfId="0" applyFont="1" applyBorder="1" applyAlignment="1" applyProtection="1"/>
    <xf numFmtId="0" fontId="22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 shrinkToFit="1"/>
    </xf>
    <xf numFmtId="0" fontId="10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/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/>
    </xf>
    <xf numFmtId="0" fontId="23" fillId="0" borderId="30" xfId="0" applyFont="1" applyBorder="1" applyAlignment="1" applyProtection="1">
      <alignment horizontal="center" shrinkToFit="1"/>
      <protection locked="0"/>
    </xf>
    <xf numFmtId="0" fontId="15" fillId="0" borderId="0" xfId="0" applyFont="1" applyBorder="1" applyAlignment="1" applyProtection="1">
      <protection locked="0"/>
    </xf>
    <xf numFmtId="0" fontId="23" fillId="0" borderId="34" xfId="0" applyFont="1" applyBorder="1" applyAlignment="1" applyProtection="1">
      <alignment horizontal="center" shrinkToFit="1"/>
      <protection locked="0"/>
    </xf>
    <xf numFmtId="0" fontId="23" fillId="0" borderId="35" xfId="0" applyFont="1" applyBorder="1" applyAlignment="1" applyProtection="1">
      <alignment horizontal="center" shrinkToFit="1"/>
      <protection locked="0"/>
    </xf>
    <xf numFmtId="0" fontId="11" fillId="0" borderId="40" xfId="3" applyFont="1" applyBorder="1" applyAlignment="1">
      <alignment vertical="top"/>
    </xf>
    <xf numFmtId="0" fontId="11" fillId="0" borderId="37" xfId="3" applyFont="1" applyBorder="1" applyAlignment="1">
      <alignment vertical="top"/>
    </xf>
    <xf numFmtId="0" fontId="23" fillId="0" borderId="30" xfId="0" applyFont="1" applyBorder="1" applyAlignment="1" applyProtection="1">
      <alignment horizontal="center" shrinkToFit="1"/>
    </xf>
    <xf numFmtId="0" fontId="23" fillId="0" borderId="35" xfId="0" applyFont="1" applyBorder="1" applyAlignment="1" applyProtection="1">
      <alignment horizontal="center" shrinkToFit="1"/>
    </xf>
    <xf numFmtId="0" fontId="23" fillId="0" borderId="31" xfId="0" applyFont="1" applyBorder="1" applyAlignment="1" applyProtection="1">
      <alignment horizontal="center" shrinkToFit="1"/>
    </xf>
    <xf numFmtId="0" fontId="23" fillId="0" borderId="44" xfId="0" applyFont="1" applyBorder="1" applyAlignment="1" applyProtection="1">
      <alignment horizontal="center" shrinkToFit="1"/>
    </xf>
    <xf numFmtId="0" fontId="23" fillId="0" borderId="34" xfId="0" applyFont="1" applyBorder="1" applyAlignment="1" applyProtection="1">
      <alignment horizontal="center" shrinkToFit="1"/>
    </xf>
    <xf numFmtId="0" fontId="23" fillId="0" borderId="34" xfId="0" applyFont="1" applyFill="1" applyBorder="1" applyAlignment="1" applyProtection="1">
      <alignment horizontal="center" shrinkToFit="1"/>
    </xf>
    <xf numFmtId="0" fontId="23" fillId="0" borderId="30" xfId="0" applyFont="1" applyFill="1" applyBorder="1" applyAlignment="1" applyProtection="1">
      <alignment horizontal="center" shrinkToFit="1"/>
    </xf>
    <xf numFmtId="0" fontId="23" fillId="0" borderId="35" xfId="0" applyFont="1" applyFill="1" applyBorder="1" applyAlignment="1" applyProtection="1">
      <alignment horizontal="center" shrinkToFit="1"/>
    </xf>
    <xf numFmtId="0" fontId="11" fillId="0" borderId="40" xfId="0" applyFont="1" applyBorder="1" applyAlignment="1" applyProtection="1">
      <alignment horizontal="right" vertical="center"/>
    </xf>
    <xf numFmtId="0" fontId="11" fillId="0" borderId="42" xfId="0" applyFont="1" applyBorder="1" applyAlignment="1" applyProtection="1">
      <alignment horizontal="right" vertical="center"/>
    </xf>
    <xf numFmtId="0" fontId="11" fillId="0" borderId="41" xfId="0" applyFont="1" applyBorder="1" applyAlignment="1" applyProtection="1">
      <alignment horizontal="left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/>
    </xf>
    <xf numFmtId="0" fontId="11" fillId="0" borderId="15" xfId="3" applyFont="1" applyBorder="1" applyAlignment="1">
      <alignment vertical="top"/>
    </xf>
    <xf numFmtId="0" fontId="11" fillId="0" borderId="0" xfId="3" applyFont="1" applyBorder="1" applyAlignment="1">
      <alignment vertical="top"/>
    </xf>
    <xf numFmtId="0" fontId="11" fillId="0" borderId="42" xfId="0" applyFont="1" applyBorder="1" applyAlignment="1" applyProtection="1">
      <alignment horizontal="right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shrinkToFit="1"/>
    </xf>
    <xf numFmtId="0" fontId="21" fillId="7" borderId="4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49" fontId="25" fillId="0" borderId="4" xfId="0" applyNumberFormat="1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left" indent="1"/>
      <protection locked="0"/>
    </xf>
    <xf numFmtId="0" fontId="22" fillId="0" borderId="4" xfId="0" applyFont="1" applyBorder="1" applyAlignment="1" applyProtection="1">
      <alignment horizontal="left" shrinkToFit="1"/>
      <protection locked="0"/>
    </xf>
    <xf numFmtId="0" fontId="21" fillId="7" borderId="4" xfId="0" applyFont="1" applyFill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shrinkToFit="1"/>
      <protection locked="0"/>
    </xf>
    <xf numFmtId="0" fontId="15" fillId="7" borderId="4" xfId="0" applyFont="1" applyFill="1" applyBorder="1" applyAlignment="1" applyProtection="1">
      <alignment horizontal="center" vertical="center" shrinkToFit="1"/>
    </xf>
    <xf numFmtId="2" fontId="25" fillId="0" borderId="4" xfId="0" applyNumberFormat="1" applyFont="1" applyBorder="1" applyAlignment="1" applyProtection="1">
      <alignment horizontal="right"/>
      <protection locked="0"/>
    </xf>
    <xf numFmtId="2" fontId="25" fillId="0" borderId="4" xfId="0" applyNumberFormat="1" applyFont="1" applyBorder="1" applyAlignment="1" applyProtection="1">
      <alignment horizontal="right"/>
    </xf>
    <xf numFmtId="0" fontId="16" fillId="7" borderId="4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wrapText="1"/>
    </xf>
    <xf numFmtId="0" fontId="16" fillId="7" borderId="0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 vertical="center" wrapText="1" shrinkToFit="1"/>
    </xf>
    <xf numFmtId="0" fontId="21" fillId="7" borderId="11" xfId="0" applyFont="1" applyFill="1" applyBorder="1" applyAlignment="1">
      <alignment horizontal="center" vertical="center" shrinkToFit="1"/>
    </xf>
    <xf numFmtId="0" fontId="21" fillId="7" borderId="9" xfId="0" applyFont="1" applyFill="1" applyBorder="1" applyAlignment="1">
      <alignment horizontal="center" vertical="center" shrinkToFit="1"/>
    </xf>
    <xf numFmtId="0" fontId="21" fillId="7" borderId="8" xfId="0" applyFont="1" applyFill="1" applyBorder="1" applyAlignment="1">
      <alignment horizontal="center" vertical="center" shrinkToFit="1"/>
    </xf>
    <xf numFmtId="0" fontId="21" fillId="7" borderId="12" xfId="0" applyFont="1" applyFill="1" applyBorder="1" applyAlignment="1">
      <alignment horizontal="center" vertical="center" shrinkToFit="1"/>
    </xf>
    <xf numFmtId="0" fontId="21" fillId="7" borderId="13" xfId="0" applyFont="1" applyFill="1" applyBorder="1" applyAlignment="1">
      <alignment horizontal="center" vertical="center" shrinkToFit="1"/>
    </xf>
    <xf numFmtId="0" fontId="7" fillId="7" borderId="9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/>
    </xf>
    <xf numFmtId="0" fontId="21" fillId="7" borderId="14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3" fontId="25" fillId="0" borderId="4" xfId="0" applyNumberFormat="1" applyFont="1" applyBorder="1" applyAlignment="1" applyProtection="1">
      <alignment horizontal="right" shrinkToFit="1"/>
      <protection locked="0"/>
    </xf>
    <xf numFmtId="0" fontId="25" fillId="0" borderId="4" xfId="0" applyFont="1" applyBorder="1" applyAlignment="1" applyProtection="1">
      <alignment horizontal="right" shrinkToFit="1"/>
      <protection locked="0"/>
    </xf>
    <xf numFmtId="3" fontId="25" fillId="0" borderId="4" xfId="0" applyNumberFormat="1" applyFont="1" applyBorder="1" applyAlignment="1" applyProtection="1">
      <alignment horizontal="right"/>
      <protection locked="0"/>
    </xf>
    <xf numFmtId="0" fontId="25" fillId="0" borderId="4" xfId="0" applyFont="1" applyBorder="1" applyAlignment="1" applyProtection="1">
      <alignment horizontal="right"/>
      <protection locked="0"/>
    </xf>
    <xf numFmtId="38" fontId="25" fillId="0" borderId="4" xfId="1" applyFont="1" applyBorder="1" applyAlignment="1" applyProtection="1">
      <alignment horizontal="right"/>
    </xf>
    <xf numFmtId="0" fontId="25" fillId="0" borderId="5" xfId="0" applyFont="1" applyFill="1" applyBorder="1" applyAlignment="1" applyProtection="1">
      <alignment horizontal="left"/>
      <protection locked="0"/>
    </xf>
    <xf numFmtId="0" fontId="25" fillId="0" borderId="26" xfId="0" applyFont="1" applyFill="1" applyBorder="1" applyAlignment="1" applyProtection="1">
      <alignment horizontal="left"/>
      <protection locked="0"/>
    </xf>
    <xf numFmtId="0" fontId="7" fillId="7" borderId="6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wrapText="1"/>
    </xf>
    <xf numFmtId="0" fontId="16" fillId="7" borderId="14" xfId="0" applyFont="1" applyFill="1" applyBorder="1" applyAlignment="1">
      <alignment horizontal="center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7" fillId="7" borderId="8" xfId="0" applyFont="1" applyFill="1" applyBorder="1" applyAlignment="1">
      <alignment horizontal="center" vertical="center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distributed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 applyProtection="1">
      <alignment horizontal="left" vertical="center" shrinkToFit="1"/>
      <protection locked="0"/>
    </xf>
    <xf numFmtId="0" fontId="21" fillId="7" borderId="4" xfId="0" applyFont="1" applyFill="1" applyBorder="1" applyAlignment="1">
      <alignment horizontal="center" vertical="center" textRotation="255" shrinkToFit="1"/>
    </xf>
    <xf numFmtId="0" fontId="21" fillId="7" borderId="29" xfId="0" applyFont="1" applyFill="1" applyBorder="1" applyAlignment="1">
      <alignment horizontal="center" vertical="center" textRotation="255" shrinkToFit="1"/>
    </xf>
    <xf numFmtId="0" fontId="17" fillId="7" borderId="4" xfId="0" applyFont="1" applyFill="1" applyBorder="1" applyAlignment="1">
      <alignment horizontal="center" vertical="center" textRotation="255" shrinkToFit="1"/>
    </xf>
    <xf numFmtId="0" fontId="17" fillId="7" borderId="29" xfId="0" applyFont="1" applyFill="1" applyBorder="1" applyAlignment="1">
      <alignment horizontal="center" vertical="center" textRotation="255" shrinkToFi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6" fillId="7" borderId="12" xfId="0" applyFont="1" applyFill="1" applyBorder="1" applyAlignment="1">
      <alignment horizontal="center" vertical="center" shrinkToFit="1"/>
    </xf>
    <xf numFmtId="0" fontId="16" fillId="7" borderId="15" xfId="0" applyFont="1" applyFill="1" applyBorder="1" applyAlignment="1">
      <alignment horizontal="center" vertical="center" shrinkToFit="1"/>
    </xf>
    <xf numFmtId="0" fontId="16" fillId="7" borderId="13" xfId="0" applyFont="1" applyFill="1" applyBorder="1" applyAlignment="1">
      <alignment horizontal="center" vertical="center" shrinkToFit="1"/>
    </xf>
    <xf numFmtId="0" fontId="22" fillId="0" borderId="7" xfId="0" applyFont="1" applyBorder="1" applyAlignment="1" applyProtection="1">
      <alignment horizontal="left"/>
      <protection locked="0"/>
    </xf>
    <xf numFmtId="0" fontId="22" fillId="0" borderId="14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horizontal="left"/>
      <protection locked="0"/>
    </xf>
    <xf numFmtId="0" fontId="22" fillId="0" borderId="12" xfId="0" applyFont="1" applyBorder="1" applyAlignment="1" applyProtection="1">
      <alignment horizontal="left"/>
      <protection locked="0"/>
    </xf>
    <xf numFmtId="0" fontId="22" fillId="0" borderId="15" xfId="0" applyFont="1" applyBorder="1" applyAlignment="1" applyProtection="1">
      <alignment horizontal="left"/>
      <protection locked="0"/>
    </xf>
    <xf numFmtId="0" fontId="22" fillId="0" borderId="13" xfId="0" applyFont="1" applyBorder="1" applyAlignment="1" applyProtection="1">
      <alignment horizontal="left"/>
      <protection locked="0"/>
    </xf>
    <xf numFmtId="0" fontId="16" fillId="0" borderId="0" xfId="0" applyFont="1" applyBorder="1" applyAlignment="1">
      <alignment horizontal="center" vertical="center" textRotation="255"/>
    </xf>
    <xf numFmtId="0" fontId="16" fillId="7" borderId="1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shrinkToFit="1"/>
    </xf>
    <xf numFmtId="0" fontId="16" fillId="7" borderId="14" xfId="0" applyFont="1" applyFill="1" applyBorder="1" applyAlignment="1">
      <alignment horizontal="center" vertical="center" shrinkToFit="1"/>
    </xf>
    <xf numFmtId="0" fontId="16" fillId="7" borderId="11" xfId="0" applyFont="1" applyFill="1" applyBorder="1" applyAlignment="1">
      <alignment horizontal="center" vertical="center" shrinkToFit="1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16" fillId="7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/>
    <xf numFmtId="0" fontId="21" fillId="7" borderId="3" xfId="0" applyFont="1" applyFill="1" applyBorder="1" applyAlignment="1">
      <alignment horizontal="center" vertical="center" textRotation="255" shrinkToFit="1"/>
    </xf>
    <xf numFmtId="0" fontId="21" fillId="7" borderId="11" xfId="0" applyFont="1" applyFill="1" applyBorder="1" applyAlignment="1">
      <alignment horizontal="center" vertical="center" textRotation="255" shrinkToFi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left"/>
      <protection locked="0"/>
    </xf>
    <xf numFmtId="0" fontId="25" fillId="0" borderId="26" xfId="0" applyFont="1" applyBorder="1" applyAlignment="1" applyProtection="1">
      <alignment horizontal="left"/>
      <protection locked="0"/>
    </xf>
    <xf numFmtId="180" fontId="22" fillId="0" borderId="7" xfId="0" applyNumberFormat="1" applyFont="1" applyBorder="1" applyAlignment="1" applyProtection="1">
      <alignment horizontal="left"/>
      <protection locked="0"/>
    </xf>
    <xf numFmtId="180" fontId="22" fillId="0" borderId="11" xfId="0" applyNumberFormat="1" applyFont="1" applyBorder="1" applyAlignment="1" applyProtection="1">
      <alignment horizontal="left"/>
      <protection locked="0"/>
    </xf>
    <xf numFmtId="180" fontId="22" fillId="0" borderId="12" xfId="0" applyNumberFormat="1" applyFont="1" applyBorder="1" applyAlignment="1" applyProtection="1">
      <alignment horizontal="left"/>
      <protection locked="0"/>
    </xf>
    <xf numFmtId="180" fontId="22" fillId="0" borderId="13" xfId="0" applyNumberFormat="1" applyFont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center" shrinkToFit="1"/>
      <protection locked="0"/>
    </xf>
    <xf numFmtId="0" fontId="22" fillId="0" borderId="11" xfId="0" applyFont="1" applyBorder="1" applyAlignment="1" applyProtection="1">
      <alignment horizontal="center" shrinkToFit="1"/>
      <protection locked="0"/>
    </xf>
    <xf numFmtId="0" fontId="22" fillId="0" borderId="12" xfId="0" applyFont="1" applyBorder="1" applyAlignment="1" applyProtection="1">
      <alignment horizontal="center" shrinkToFit="1"/>
      <protection locked="0"/>
    </xf>
    <xf numFmtId="0" fontId="22" fillId="0" borderId="13" xfId="0" applyFont="1" applyBorder="1" applyAlignment="1" applyProtection="1">
      <alignment horizontal="center" shrinkToFi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left" vertical="distributed" shrinkToFit="1"/>
      <protection locked="0"/>
    </xf>
    <xf numFmtId="0" fontId="11" fillId="0" borderId="0" xfId="0" applyFont="1" applyBorder="1" applyAlignment="1" applyProtection="1">
      <alignment shrinkToFit="1"/>
      <protection locked="0"/>
    </xf>
    <xf numFmtId="0" fontId="13" fillId="7" borderId="9" xfId="0" applyFont="1" applyFill="1" applyBorder="1" applyAlignment="1">
      <alignment horizontal="center" vertical="center" shrinkToFit="1"/>
    </xf>
    <xf numFmtId="0" fontId="13" fillId="7" borderId="0" xfId="0" applyFont="1" applyFill="1" applyBorder="1" applyAlignment="1">
      <alignment horizontal="center" vertical="center" shrinkToFit="1"/>
    </xf>
    <xf numFmtId="0" fontId="13" fillId="7" borderId="8" xfId="0" applyFont="1" applyFill="1" applyBorder="1" applyAlignment="1">
      <alignment horizontal="center" vertical="center" shrinkToFit="1"/>
    </xf>
    <xf numFmtId="0" fontId="20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distributed" shrinkToFit="1"/>
      <protection locked="0"/>
    </xf>
    <xf numFmtId="0" fontId="22" fillId="0" borderId="9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7" fillId="7" borderId="27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16" fillId="7" borderId="33" xfId="0" applyFont="1" applyFill="1" applyBorder="1" applyAlignment="1">
      <alignment horizontal="center" vertical="center"/>
    </xf>
    <xf numFmtId="0" fontId="22" fillId="0" borderId="32" xfId="0" applyFont="1" applyBorder="1" applyAlignment="1" applyProtection="1">
      <alignment horizontal="center" shrinkToFit="1"/>
      <protection locked="0"/>
    </xf>
    <xf numFmtId="0" fontId="22" fillId="0" borderId="33" xfId="0" applyFont="1" applyBorder="1" applyAlignment="1" applyProtection="1">
      <alignment horizontal="center" shrinkToFit="1"/>
      <protection locked="0"/>
    </xf>
    <xf numFmtId="0" fontId="22" fillId="0" borderId="15" xfId="0" applyFont="1" applyBorder="1" applyAlignment="1" applyProtection="1">
      <alignment horizontal="center" shrinkToFit="1"/>
      <protection locked="0"/>
    </xf>
    <xf numFmtId="0" fontId="21" fillId="0" borderId="0" xfId="0" applyFont="1" applyBorder="1" applyAlignment="1">
      <alignment horizontal="center" vertical="center" shrinkToFit="1"/>
    </xf>
    <xf numFmtId="178" fontId="12" fillId="0" borderId="36" xfId="0" applyNumberFormat="1" applyFont="1" applyBorder="1" applyAlignment="1">
      <alignment horizontal="center" vertical="center" shrinkToFit="1"/>
    </xf>
    <xf numFmtId="178" fontId="12" fillId="0" borderId="37" xfId="0" applyNumberFormat="1" applyFont="1" applyBorder="1" applyAlignment="1">
      <alignment horizontal="center" vertical="center" shrinkToFit="1"/>
    </xf>
    <xf numFmtId="178" fontId="12" fillId="0" borderId="38" xfId="0" applyNumberFormat="1" applyFont="1" applyBorder="1" applyAlignment="1">
      <alignment horizontal="center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0" borderId="0" xfId="0" applyFont="1" applyBorder="1" applyAlignment="1" applyProtection="1">
      <alignment horizontal="center" vertical="center" shrinkToFit="1"/>
    </xf>
    <xf numFmtId="178" fontId="12" fillId="0" borderId="0" xfId="0" applyNumberFormat="1" applyFont="1" applyBorder="1" applyAlignment="1" applyProtection="1">
      <alignment vertical="center" shrinkToFit="1"/>
    </xf>
    <xf numFmtId="0" fontId="13" fillId="0" borderId="0" xfId="0" applyFont="1" applyBorder="1" applyAlignment="1">
      <alignment horizontal="center" vertical="center"/>
    </xf>
    <xf numFmtId="178" fontId="22" fillId="0" borderId="4" xfId="0" applyNumberFormat="1" applyFont="1" applyFill="1" applyBorder="1" applyAlignment="1" applyProtection="1">
      <alignment horizontal="left" indent="1"/>
    </xf>
    <xf numFmtId="178" fontId="22" fillId="0" borderId="4" xfId="0" applyNumberFormat="1" applyFont="1" applyFill="1" applyBorder="1" applyAlignment="1" applyProtection="1">
      <alignment horizontal="left" shrinkToFit="1"/>
    </xf>
    <xf numFmtId="178" fontId="25" fillId="0" borderId="4" xfId="0" applyNumberFormat="1" applyFont="1" applyFill="1" applyBorder="1" applyAlignment="1" applyProtection="1">
      <alignment horizontal="center" shrinkToFit="1"/>
    </xf>
    <xf numFmtId="0" fontId="25" fillId="0" borderId="4" xfId="0" applyFont="1" applyFill="1" applyBorder="1" applyAlignment="1" applyProtection="1">
      <alignment horizontal="center" shrinkToFit="1"/>
    </xf>
    <xf numFmtId="0" fontId="21" fillId="7" borderId="4" xfId="0" applyFont="1" applyFill="1" applyBorder="1" applyAlignment="1" applyProtection="1">
      <alignment horizontal="center"/>
    </xf>
    <xf numFmtId="0" fontId="16" fillId="7" borderId="4" xfId="0" applyFont="1" applyFill="1" applyBorder="1" applyAlignment="1" applyProtection="1">
      <alignment horizontal="center" vertical="center"/>
    </xf>
    <xf numFmtId="2" fontId="25" fillId="0" borderId="4" xfId="0" applyNumberFormat="1" applyFont="1" applyFill="1" applyBorder="1" applyAlignment="1" applyProtection="1">
      <alignment horizontal="right"/>
    </xf>
    <xf numFmtId="178" fontId="25" fillId="0" borderId="4" xfId="0" applyNumberFormat="1" applyFont="1" applyFill="1" applyBorder="1" applyAlignment="1" applyProtection="1">
      <alignment horizontal="center"/>
    </xf>
    <xf numFmtId="0" fontId="21" fillId="7" borderId="4" xfId="0" applyFont="1" applyFill="1" applyBorder="1" applyAlignment="1" applyProtection="1">
      <alignment horizontal="center" vertical="center"/>
    </xf>
    <xf numFmtId="0" fontId="21" fillId="7" borderId="9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7" borderId="8" xfId="0" applyFont="1" applyFill="1" applyBorder="1" applyAlignment="1" applyProtection="1">
      <alignment horizontal="center" vertical="center"/>
    </xf>
    <xf numFmtId="0" fontId="16" fillId="7" borderId="7" xfId="0" applyFont="1" applyFill="1" applyBorder="1" applyAlignment="1" applyProtection="1">
      <alignment horizontal="center" wrapText="1"/>
    </xf>
    <xf numFmtId="0" fontId="16" fillId="7" borderId="14" xfId="0" applyFont="1" applyFill="1" applyBorder="1" applyAlignment="1" applyProtection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16" fillId="7" borderId="8" xfId="0" applyFont="1" applyFill="1" applyBorder="1" applyAlignment="1" applyProtection="1">
      <alignment horizontal="center"/>
    </xf>
    <xf numFmtId="0" fontId="16" fillId="7" borderId="9" xfId="0" applyFont="1" applyFill="1" applyBorder="1" applyAlignment="1" applyProtection="1">
      <alignment horizont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0" fontId="16" fillId="7" borderId="9" xfId="0" applyFont="1" applyFill="1" applyBorder="1" applyAlignment="1" applyProtection="1">
      <alignment horizontal="center" wrapText="1"/>
    </xf>
    <xf numFmtId="0" fontId="7" fillId="7" borderId="36" xfId="0" applyFont="1" applyFill="1" applyBorder="1" applyAlignment="1" applyProtection="1">
      <alignment horizontal="center" vertical="center"/>
    </xf>
    <xf numFmtId="0" fontId="7" fillId="7" borderId="37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</xf>
    <xf numFmtId="0" fontId="7" fillId="7" borderId="12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center" vertical="center"/>
    </xf>
    <xf numFmtId="0" fontId="7" fillId="7" borderId="13" xfId="0" applyFont="1" applyFill="1" applyBorder="1" applyAlignment="1" applyProtection="1">
      <alignment horizontal="center" vertical="center"/>
    </xf>
    <xf numFmtId="0" fontId="21" fillId="7" borderId="9" xfId="0" applyFont="1" applyFill="1" applyBorder="1" applyAlignment="1" applyProtection="1">
      <alignment horizontal="center"/>
    </xf>
    <xf numFmtId="0" fontId="21" fillId="7" borderId="0" xfId="0" applyFont="1" applyFill="1" applyBorder="1" applyAlignment="1" applyProtection="1">
      <alignment horizontal="center"/>
    </xf>
    <xf numFmtId="0" fontId="21" fillId="7" borderId="8" xfId="0" applyFont="1" applyFill="1" applyBorder="1" applyAlignment="1" applyProtection="1">
      <alignment horizontal="center"/>
    </xf>
    <xf numFmtId="178" fontId="10" fillId="0" borderId="6" xfId="0" applyNumberFormat="1" applyFont="1" applyFill="1" applyBorder="1" applyAlignment="1" applyProtection="1">
      <alignment horizontal="left"/>
    </xf>
    <xf numFmtId="178" fontId="10" fillId="0" borderId="5" xfId="0" applyNumberFormat="1" applyFont="1" applyFill="1" applyBorder="1" applyAlignment="1" applyProtection="1">
      <alignment horizontal="left"/>
    </xf>
    <xf numFmtId="178" fontId="10" fillId="0" borderId="37" xfId="0" applyNumberFormat="1" applyFont="1" applyFill="1" applyBorder="1" applyAlignment="1" applyProtection="1">
      <alignment horizontal="left"/>
    </xf>
    <xf numFmtId="178" fontId="10" fillId="0" borderId="38" xfId="0" applyNumberFormat="1" applyFont="1" applyFill="1" applyBorder="1" applyAlignment="1" applyProtection="1">
      <alignment horizontal="left"/>
    </xf>
    <xf numFmtId="38" fontId="25" fillId="0" borderId="4" xfId="1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1" fillId="7" borderId="4" xfId="0" applyFont="1" applyFill="1" applyBorder="1" applyAlignment="1" applyProtection="1">
      <alignment horizontal="center" vertical="center" textRotation="255" shrinkToFit="1"/>
    </xf>
    <xf numFmtId="0" fontId="21" fillId="7" borderId="43" xfId="0" applyFont="1" applyFill="1" applyBorder="1" applyAlignment="1" applyProtection="1">
      <alignment horizontal="center" vertical="center" textRotation="255" shrinkToFit="1"/>
    </xf>
    <xf numFmtId="0" fontId="17" fillId="7" borderId="4" xfId="0" applyFont="1" applyFill="1" applyBorder="1" applyAlignment="1" applyProtection="1">
      <alignment horizontal="center" vertical="center" textRotation="255" shrinkToFit="1"/>
    </xf>
    <xf numFmtId="0" fontId="17" fillId="7" borderId="43" xfId="0" applyFont="1" applyFill="1" applyBorder="1" applyAlignment="1" applyProtection="1">
      <alignment horizontal="center" vertical="center" textRotation="255" shrinkToFit="1"/>
    </xf>
    <xf numFmtId="178" fontId="22" fillId="0" borderId="9" xfId="0" applyNumberFormat="1" applyFont="1" applyFill="1" applyBorder="1" applyAlignment="1" applyProtection="1">
      <alignment horizontal="left"/>
    </xf>
    <xf numFmtId="178" fontId="22" fillId="0" borderId="0" xfId="0" applyNumberFormat="1" applyFont="1" applyFill="1" applyBorder="1" applyAlignment="1" applyProtection="1">
      <alignment horizontal="left"/>
    </xf>
    <xf numFmtId="178" fontId="25" fillId="0" borderId="5" xfId="0" applyNumberFormat="1" applyFont="1" applyFill="1" applyBorder="1" applyAlignment="1" applyProtection="1">
      <alignment horizontal="left"/>
    </xf>
    <xf numFmtId="178" fontId="25" fillId="0" borderId="40" xfId="0" applyNumberFormat="1" applyFont="1" applyFill="1" applyBorder="1" applyAlignment="1" applyProtection="1">
      <alignment horizontal="left"/>
    </xf>
    <xf numFmtId="0" fontId="21" fillId="7" borderId="3" xfId="0" applyFont="1" applyFill="1" applyBorder="1" applyAlignment="1" applyProtection="1">
      <alignment horizontal="center" vertical="center" textRotation="255" shrinkToFit="1"/>
    </xf>
    <xf numFmtId="0" fontId="21" fillId="7" borderId="38" xfId="0" applyFont="1" applyFill="1" applyBorder="1" applyAlignment="1" applyProtection="1">
      <alignment horizontal="center" vertical="center" textRotation="255" shrinkToFit="1"/>
    </xf>
    <xf numFmtId="0" fontId="7" fillId="7" borderId="6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center"/>
    </xf>
    <xf numFmtId="0" fontId="7" fillId="7" borderId="14" xfId="0" applyFont="1" applyFill="1" applyBorder="1" applyAlignment="1" applyProtection="1">
      <alignment horizontal="center"/>
    </xf>
    <xf numFmtId="0" fontId="7" fillId="7" borderId="11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0" fontId="7" fillId="7" borderId="8" xfId="0" applyFont="1" applyFill="1" applyBorder="1" applyAlignment="1" applyProtection="1">
      <alignment horizont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178" fontId="22" fillId="0" borderId="6" xfId="0" applyNumberFormat="1" applyFont="1" applyFill="1" applyBorder="1" applyAlignment="1" applyProtection="1">
      <alignment horizontal="left"/>
    </xf>
    <xf numFmtId="178" fontId="22" fillId="0" borderId="5" xfId="0" applyNumberFormat="1" applyFont="1" applyFill="1" applyBorder="1" applyAlignment="1" applyProtection="1">
      <alignment horizontal="left"/>
    </xf>
    <xf numFmtId="178" fontId="25" fillId="0" borderId="4" xfId="0" applyNumberFormat="1" applyFont="1" applyBorder="1" applyAlignment="1" applyProtection="1">
      <alignment horizontal="center"/>
    </xf>
    <xf numFmtId="178" fontId="22" fillId="0" borderId="4" xfId="0" applyNumberFormat="1" applyFont="1" applyBorder="1" applyAlignment="1" applyProtection="1">
      <alignment horizontal="left" indent="1"/>
    </xf>
    <xf numFmtId="178" fontId="22" fillId="0" borderId="4" xfId="0" applyNumberFormat="1" applyFont="1" applyBorder="1" applyAlignment="1" applyProtection="1">
      <alignment horizontal="left" shrinkToFit="1"/>
    </xf>
    <xf numFmtId="178" fontId="25" fillId="0" borderId="4" xfId="0" applyNumberFormat="1" applyFont="1" applyBorder="1" applyAlignment="1" applyProtection="1">
      <alignment horizontal="center" shrinkToFit="1"/>
    </xf>
    <xf numFmtId="0" fontId="25" fillId="0" borderId="4" xfId="0" applyFont="1" applyBorder="1" applyAlignment="1" applyProtection="1">
      <alignment horizontal="center" shrinkToFit="1"/>
    </xf>
    <xf numFmtId="178" fontId="10" fillId="0" borderId="6" xfId="0" applyNumberFormat="1" applyFont="1" applyBorder="1" applyAlignment="1" applyProtection="1">
      <alignment horizontal="left"/>
    </xf>
    <xf numFmtId="178" fontId="10" fillId="0" borderId="5" xfId="0" applyNumberFormat="1" applyFont="1" applyBorder="1" applyAlignment="1" applyProtection="1">
      <alignment horizontal="left"/>
    </xf>
    <xf numFmtId="178" fontId="10" fillId="0" borderId="37" xfId="0" applyNumberFormat="1" applyFont="1" applyBorder="1" applyAlignment="1" applyProtection="1">
      <alignment horizontal="left"/>
    </xf>
    <xf numFmtId="178" fontId="10" fillId="0" borderId="38" xfId="0" applyNumberFormat="1" applyFont="1" applyBorder="1" applyAlignment="1" applyProtection="1">
      <alignment horizontal="left"/>
    </xf>
    <xf numFmtId="178" fontId="22" fillId="0" borderId="9" xfId="0" applyNumberFormat="1" applyFont="1" applyBorder="1" applyAlignment="1" applyProtection="1">
      <alignment horizontal="left"/>
      <protection locked="0"/>
    </xf>
    <xf numFmtId="178" fontId="22" fillId="0" borderId="0" xfId="0" applyNumberFormat="1" applyFont="1" applyBorder="1" applyAlignment="1" applyProtection="1">
      <alignment horizontal="left"/>
      <protection locked="0"/>
    </xf>
    <xf numFmtId="178" fontId="22" fillId="0" borderId="7" xfId="0" applyNumberFormat="1" applyFont="1" applyBorder="1" applyAlignment="1" applyProtection="1">
      <alignment horizontal="center" shrinkToFit="1"/>
      <protection locked="0"/>
    </xf>
    <xf numFmtId="178" fontId="22" fillId="0" borderId="11" xfId="0" applyNumberFormat="1" applyFont="1" applyBorder="1" applyAlignment="1" applyProtection="1">
      <alignment horizontal="center" shrinkToFit="1"/>
      <protection locked="0"/>
    </xf>
    <xf numFmtId="178" fontId="22" fillId="0" borderId="12" xfId="0" applyNumberFormat="1" applyFont="1" applyBorder="1" applyAlignment="1" applyProtection="1">
      <alignment horizontal="center" shrinkToFit="1"/>
      <protection locked="0"/>
    </xf>
    <xf numFmtId="178" fontId="22" fillId="0" borderId="13" xfId="0" applyNumberFormat="1" applyFont="1" applyBorder="1" applyAlignment="1" applyProtection="1">
      <alignment horizontal="center" shrinkToFit="1"/>
      <protection locked="0"/>
    </xf>
    <xf numFmtId="0" fontId="16" fillId="7" borderId="7" xfId="0" applyFont="1" applyFill="1" applyBorder="1" applyAlignment="1" applyProtection="1">
      <alignment horizontal="center" vertical="center" shrinkToFit="1"/>
    </xf>
    <xf numFmtId="0" fontId="16" fillId="7" borderId="14" xfId="0" applyFont="1" applyFill="1" applyBorder="1" applyAlignment="1" applyProtection="1">
      <alignment horizontal="center" vertical="center" shrinkToFit="1"/>
    </xf>
    <xf numFmtId="0" fontId="16" fillId="7" borderId="11" xfId="0" applyFont="1" applyFill="1" applyBorder="1" applyAlignment="1" applyProtection="1">
      <alignment horizontal="center" vertical="center" shrinkToFit="1"/>
    </xf>
    <xf numFmtId="178" fontId="22" fillId="0" borderId="7" xfId="0" applyNumberFormat="1" applyFont="1" applyBorder="1" applyAlignment="1" applyProtection="1">
      <alignment horizontal="center"/>
      <protection locked="0"/>
    </xf>
    <xf numFmtId="178" fontId="22" fillId="0" borderId="14" xfId="0" applyNumberFormat="1" applyFont="1" applyBorder="1" applyAlignment="1" applyProtection="1">
      <alignment horizontal="center"/>
      <protection locked="0"/>
    </xf>
    <xf numFmtId="178" fontId="22" fillId="0" borderId="11" xfId="0" applyNumberFormat="1" applyFont="1" applyBorder="1" applyAlignment="1" applyProtection="1">
      <alignment horizontal="center"/>
      <protection locked="0"/>
    </xf>
    <xf numFmtId="178" fontId="22" fillId="0" borderId="12" xfId="0" applyNumberFormat="1" applyFont="1" applyBorder="1" applyAlignment="1" applyProtection="1">
      <alignment horizontal="center"/>
      <protection locked="0"/>
    </xf>
    <xf numFmtId="178" fontId="22" fillId="0" borderId="15" xfId="0" applyNumberFormat="1" applyFont="1" applyBorder="1" applyAlignment="1" applyProtection="1">
      <alignment horizontal="center"/>
      <protection locked="0"/>
    </xf>
    <xf numFmtId="178" fontId="22" fillId="0" borderId="13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 shrinkToFit="1"/>
    </xf>
    <xf numFmtId="178" fontId="11" fillId="0" borderId="0" xfId="0" applyNumberFormat="1" applyFont="1" applyBorder="1" applyAlignment="1" applyProtection="1">
      <alignment vertical="distributed" wrapText="1"/>
    </xf>
    <xf numFmtId="178" fontId="11" fillId="0" borderId="0" xfId="0" applyNumberFormat="1" applyFont="1" applyBorder="1" applyAlignment="1" applyProtection="1"/>
    <xf numFmtId="178" fontId="22" fillId="0" borderId="7" xfId="0" applyNumberFormat="1" applyFont="1" applyBorder="1" applyAlignment="1" applyProtection="1">
      <alignment horizontal="left"/>
      <protection locked="0"/>
    </xf>
    <xf numFmtId="178" fontId="22" fillId="0" borderId="14" xfId="0" applyNumberFormat="1" applyFont="1" applyBorder="1" applyAlignment="1" applyProtection="1">
      <alignment horizontal="left"/>
      <protection locked="0"/>
    </xf>
    <xf numFmtId="178" fontId="22" fillId="0" borderId="11" xfId="0" applyNumberFormat="1" applyFont="1" applyBorder="1" applyAlignment="1" applyProtection="1">
      <alignment horizontal="left"/>
      <protection locked="0"/>
    </xf>
    <xf numFmtId="178" fontId="22" fillId="0" borderId="12" xfId="0" applyNumberFormat="1" applyFont="1" applyBorder="1" applyAlignment="1" applyProtection="1">
      <alignment horizontal="left"/>
      <protection locked="0"/>
    </xf>
    <xf numFmtId="178" fontId="22" fillId="0" borderId="15" xfId="0" applyNumberFormat="1" applyFont="1" applyBorder="1" applyAlignment="1" applyProtection="1">
      <alignment horizontal="left"/>
      <protection locked="0"/>
    </xf>
    <xf numFmtId="178" fontId="22" fillId="0" borderId="13" xfId="0" applyNumberFormat="1" applyFont="1" applyBorder="1" applyAlignment="1" applyProtection="1">
      <alignment horizontal="left"/>
      <protection locked="0"/>
    </xf>
    <xf numFmtId="0" fontId="16" fillId="7" borderId="7" xfId="0" applyFont="1" applyFill="1" applyBorder="1" applyAlignment="1" applyProtection="1">
      <alignment horizontal="center" vertical="center"/>
    </xf>
    <xf numFmtId="0" fontId="16" fillId="7" borderId="1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/>
    <xf numFmtId="0" fontId="16" fillId="7" borderId="12" xfId="0" applyFont="1" applyFill="1" applyBorder="1" applyAlignment="1" applyProtection="1">
      <alignment horizontal="center" vertical="center" shrinkToFit="1"/>
    </xf>
    <xf numFmtId="0" fontId="16" fillId="7" borderId="15" xfId="0" applyFont="1" applyFill="1" applyBorder="1" applyAlignment="1" applyProtection="1">
      <alignment horizontal="center" vertical="center" shrinkToFit="1"/>
    </xf>
    <xf numFmtId="0" fontId="16" fillId="7" borderId="13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distributed" vertical="center"/>
    </xf>
    <xf numFmtId="178" fontId="11" fillId="0" borderId="41" xfId="0" applyNumberFormat="1" applyFont="1" applyBorder="1" applyAlignment="1" applyProtection="1">
      <alignment horizontal="center" vertical="center"/>
    </xf>
    <xf numFmtId="178" fontId="12" fillId="0" borderId="40" xfId="0" applyNumberFormat="1" applyFont="1" applyBorder="1" applyAlignment="1" applyProtection="1">
      <alignment vertical="center"/>
    </xf>
    <xf numFmtId="178" fontId="11" fillId="0" borderId="40" xfId="0" applyNumberFormat="1" applyFont="1" applyBorder="1" applyAlignment="1" applyProtection="1">
      <alignment horizontal="center" vertical="center"/>
    </xf>
    <xf numFmtId="178" fontId="12" fillId="0" borderId="40" xfId="0" applyNumberFormat="1" applyFont="1" applyBorder="1" applyAlignment="1" applyProtection="1">
      <alignment horizontal="center" vertical="center"/>
    </xf>
    <xf numFmtId="0" fontId="16" fillId="7" borderId="32" xfId="0" applyFont="1" applyFill="1" applyBorder="1" applyAlignment="1" applyProtection="1">
      <alignment horizontal="center" vertical="center"/>
    </xf>
    <xf numFmtId="0" fontId="16" fillId="7" borderId="33" xfId="0" applyFont="1" applyFill="1" applyBorder="1" applyAlignment="1" applyProtection="1">
      <alignment horizontal="center" vertical="center"/>
    </xf>
    <xf numFmtId="0" fontId="16" fillId="7" borderId="12" xfId="0" applyFont="1" applyFill="1" applyBorder="1" applyAlignment="1" applyProtection="1">
      <alignment horizontal="center" vertical="center"/>
    </xf>
    <xf numFmtId="0" fontId="16" fillId="7" borderId="15" xfId="0" applyFont="1" applyFill="1" applyBorder="1" applyAlignment="1" applyProtection="1">
      <alignment horizontal="center" vertical="center"/>
    </xf>
    <xf numFmtId="0" fontId="16" fillId="7" borderId="13" xfId="0" applyFont="1" applyFill="1" applyBorder="1" applyAlignment="1" applyProtection="1">
      <alignment horizontal="center" vertical="center"/>
    </xf>
    <xf numFmtId="178" fontId="22" fillId="0" borderId="32" xfId="0" applyNumberFormat="1" applyFont="1" applyBorder="1" applyAlignment="1" applyProtection="1">
      <alignment horizontal="center" shrinkToFit="1"/>
      <protection locked="0"/>
    </xf>
    <xf numFmtId="178" fontId="22" fillId="0" borderId="33" xfId="0" applyNumberFormat="1" applyFont="1" applyBorder="1" applyAlignment="1" applyProtection="1">
      <alignment horizontal="center" shrinkToFit="1"/>
      <protection locked="0"/>
    </xf>
    <xf numFmtId="178" fontId="22" fillId="0" borderId="15" xfId="0" applyNumberFormat="1" applyFont="1" applyBorder="1" applyAlignment="1" applyProtection="1">
      <alignment horizontal="center" shrinkToFit="1"/>
      <protection locked="0"/>
    </xf>
    <xf numFmtId="0" fontId="16" fillId="0" borderId="0" xfId="0" applyFont="1" applyBorder="1" applyAlignment="1" applyProtection="1">
      <alignment horizontal="center" vertical="center" textRotation="255"/>
    </xf>
    <xf numFmtId="0" fontId="17" fillId="7" borderId="7" xfId="0" applyFont="1" applyFill="1" applyBorder="1" applyAlignment="1" applyProtection="1">
      <alignment horizontal="center" vertical="center" wrapText="1"/>
    </xf>
    <xf numFmtId="0" fontId="17" fillId="7" borderId="11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178" fontId="12" fillId="0" borderId="0" xfId="0" applyNumberFormat="1" applyFont="1" applyBorder="1" applyAlignment="1" applyProtection="1">
      <alignment horizontal="left" vertical="center" shrinkToFit="1"/>
    </xf>
    <xf numFmtId="178" fontId="22" fillId="0" borderId="7" xfId="0" applyNumberFormat="1" applyFont="1" applyBorder="1" applyAlignment="1" applyProtection="1">
      <alignment horizontal="left"/>
    </xf>
    <xf numFmtId="178" fontId="22" fillId="0" borderId="11" xfId="0" applyNumberFormat="1" applyFont="1" applyBorder="1" applyAlignment="1" applyProtection="1">
      <alignment horizontal="left"/>
    </xf>
    <xf numFmtId="178" fontId="22" fillId="0" borderId="12" xfId="0" applyNumberFormat="1" applyFont="1" applyBorder="1" applyAlignment="1" applyProtection="1">
      <alignment horizontal="left"/>
    </xf>
    <xf numFmtId="178" fontId="22" fillId="0" borderId="13" xfId="0" applyNumberFormat="1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distributed" wrapText="1"/>
    </xf>
    <xf numFmtId="0" fontId="11" fillId="0" borderId="0" xfId="0" applyFont="1" applyBorder="1" applyAlignment="1" applyProtection="1"/>
    <xf numFmtId="179" fontId="12" fillId="0" borderId="0" xfId="0" applyNumberFormat="1" applyFont="1" applyBorder="1" applyAlignment="1" applyProtection="1">
      <alignment horizontal="left" vertical="center" shrinkToFit="1"/>
    </xf>
    <xf numFmtId="0" fontId="16" fillId="7" borderId="14" xfId="0" applyFont="1" applyFill="1" applyBorder="1" applyAlignment="1" applyProtection="1">
      <alignment horizontal="center" vertical="center"/>
    </xf>
    <xf numFmtId="178" fontId="22" fillId="0" borderId="14" xfId="0" applyNumberFormat="1" applyFont="1" applyBorder="1" applyAlignment="1" applyProtection="1">
      <alignment horizontal="left"/>
    </xf>
    <xf numFmtId="178" fontId="22" fillId="0" borderId="15" xfId="0" applyNumberFormat="1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protection locked="0"/>
    </xf>
    <xf numFmtId="178" fontId="22" fillId="0" borderId="7" xfId="0" applyNumberFormat="1" applyFont="1" applyBorder="1" applyAlignment="1" applyProtection="1">
      <alignment horizontal="center"/>
    </xf>
    <xf numFmtId="178" fontId="22" fillId="0" borderId="11" xfId="0" applyNumberFormat="1" applyFont="1" applyBorder="1" applyAlignment="1" applyProtection="1">
      <alignment horizontal="center"/>
    </xf>
    <xf numFmtId="178" fontId="22" fillId="0" borderId="12" xfId="0" applyNumberFormat="1" applyFont="1" applyBorder="1" applyAlignment="1" applyProtection="1">
      <alignment horizontal="center"/>
    </xf>
    <xf numFmtId="178" fontId="22" fillId="0" borderId="13" xfId="0" applyNumberFormat="1" applyFont="1" applyBorder="1" applyAlignment="1" applyProtection="1">
      <alignment horizontal="center"/>
    </xf>
    <xf numFmtId="178" fontId="22" fillId="0" borderId="14" xfId="0" applyNumberFormat="1" applyFont="1" applyBorder="1" applyAlignment="1" applyProtection="1">
      <alignment horizontal="center"/>
    </xf>
    <xf numFmtId="178" fontId="22" fillId="0" borderId="15" xfId="0" applyNumberFormat="1" applyFont="1" applyBorder="1" applyAlignment="1" applyProtection="1">
      <alignment horizontal="center"/>
    </xf>
    <xf numFmtId="178" fontId="22" fillId="0" borderId="7" xfId="0" applyNumberFormat="1" applyFont="1" applyBorder="1" applyAlignment="1" applyProtection="1">
      <alignment horizontal="center" shrinkToFit="1"/>
    </xf>
    <xf numFmtId="178" fontId="22" fillId="0" borderId="32" xfId="0" applyNumberFormat="1" applyFont="1" applyBorder="1" applyAlignment="1" applyProtection="1">
      <alignment horizontal="center" shrinkToFit="1"/>
    </xf>
    <xf numFmtId="178" fontId="22" fillId="0" borderId="33" xfId="0" applyNumberFormat="1" applyFont="1" applyBorder="1" applyAlignment="1" applyProtection="1">
      <alignment horizontal="center" shrinkToFit="1"/>
    </xf>
    <xf numFmtId="178" fontId="22" fillId="0" borderId="12" xfId="0" applyNumberFormat="1" applyFont="1" applyBorder="1" applyAlignment="1" applyProtection="1">
      <alignment horizontal="center" shrinkToFit="1"/>
    </xf>
    <xf numFmtId="178" fontId="22" fillId="0" borderId="15" xfId="0" applyNumberFormat="1" applyFont="1" applyBorder="1" applyAlignment="1" applyProtection="1">
      <alignment horizontal="center" shrinkToFit="1"/>
    </xf>
    <xf numFmtId="178" fontId="22" fillId="0" borderId="13" xfId="0" applyNumberFormat="1" applyFont="1" applyBorder="1" applyAlignment="1" applyProtection="1">
      <alignment horizontal="center" shrinkToFit="1"/>
    </xf>
    <xf numFmtId="0" fontId="7" fillId="7" borderId="38" xfId="0" applyFont="1" applyFill="1" applyBorder="1" applyAlignment="1" applyProtection="1">
      <alignment horizontal="center" vertical="center"/>
    </xf>
    <xf numFmtId="0" fontId="21" fillId="7" borderId="7" xfId="0" applyFont="1" applyFill="1" applyBorder="1" applyAlignment="1" applyProtection="1">
      <alignment horizontal="center"/>
    </xf>
    <xf numFmtId="38" fontId="25" fillId="0" borderId="36" xfId="1" applyFont="1" applyFill="1" applyBorder="1" applyAlignment="1" applyProtection="1">
      <alignment horizontal="right"/>
    </xf>
    <xf numFmtId="38" fontId="25" fillId="0" borderId="37" xfId="1" applyFont="1" applyFill="1" applyBorder="1" applyAlignment="1" applyProtection="1">
      <alignment horizontal="right"/>
    </xf>
    <xf numFmtId="38" fontId="25" fillId="0" borderId="38" xfId="1" applyFont="1" applyFill="1" applyBorder="1" applyAlignment="1" applyProtection="1">
      <alignment horizontal="right"/>
    </xf>
    <xf numFmtId="38" fontId="25" fillId="0" borderId="0" xfId="1" applyFont="1" applyFill="1" applyBorder="1" applyAlignment="1" applyProtection="1">
      <alignment horizontal="right"/>
    </xf>
    <xf numFmtId="0" fontId="25" fillId="0" borderId="6" xfId="0" applyFont="1" applyFill="1" applyBorder="1" applyAlignment="1" applyProtection="1">
      <alignment horizontal="center" shrinkToFit="1"/>
    </xf>
    <xf numFmtId="0" fontId="25" fillId="0" borderId="3" xfId="0" applyFont="1" applyFill="1" applyBorder="1" applyAlignment="1" applyProtection="1">
      <alignment horizontal="center" shrinkToFit="1"/>
    </xf>
    <xf numFmtId="2" fontId="25" fillId="0" borderId="39" xfId="0" applyNumberFormat="1" applyFont="1" applyFill="1" applyBorder="1" applyAlignment="1" applyProtection="1">
      <alignment horizontal="right"/>
    </xf>
    <xf numFmtId="178" fontId="25" fillId="0" borderId="39" xfId="0" applyNumberFormat="1" applyFont="1" applyFill="1" applyBorder="1" applyAlignment="1" applyProtection="1">
      <alignment horizontal="center"/>
    </xf>
    <xf numFmtId="178" fontId="22" fillId="0" borderId="6" xfId="0" applyNumberFormat="1" applyFont="1" applyFill="1" applyBorder="1" applyAlignment="1" applyProtection="1">
      <alignment horizontal="left" indent="1"/>
    </xf>
    <xf numFmtId="178" fontId="22" fillId="0" borderId="3" xfId="0" applyNumberFormat="1" applyFont="1" applyFill="1" applyBorder="1" applyAlignment="1" applyProtection="1">
      <alignment horizontal="left" indent="1"/>
    </xf>
    <xf numFmtId="178" fontId="22" fillId="0" borderId="6" xfId="0" applyNumberFormat="1" applyFont="1" applyFill="1" applyBorder="1" applyAlignment="1" applyProtection="1">
      <alignment horizontal="left" shrinkToFit="1"/>
    </xf>
    <xf numFmtId="178" fontId="22" fillId="0" borderId="5" xfId="0" applyNumberFormat="1" applyFont="1" applyFill="1" applyBorder="1" applyAlignment="1" applyProtection="1">
      <alignment horizontal="left" shrinkToFit="1"/>
    </xf>
    <xf numFmtId="178" fontId="22" fillId="0" borderId="3" xfId="0" applyNumberFormat="1" applyFont="1" applyFill="1" applyBorder="1" applyAlignment="1" applyProtection="1">
      <alignment horizontal="left" shrinkToFit="1"/>
    </xf>
    <xf numFmtId="178" fontId="25" fillId="0" borderId="6" xfId="0" applyNumberFormat="1" applyFont="1" applyFill="1" applyBorder="1" applyAlignment="1" applyProtection="1">
      <alignment horizontal="center" shrinkToFit="1"/>
    </xf>
    <xf numFmtId="178" fontId="25" fillId="0" borderId="3" xfId="0" applyNumberFormat="1" applyFont="1" applyFill="1" applyBorder="1" applyAlignment="1" applyProtection="1">
      <alignment horizontal="center" shrinkToFit="1"/>
    </xf>
    <xf numFmtId="178" fontId="22" fillId="0" borderId="39" xfId="0" applyNumberFormat="1" applyFont="1" applyBorder="1" applyAlignment="1" applyProtection="1">
      <alignment horizontal="left" indent="1"/>
    </xf>
    <xf numFmtId="178" fontId="22" fillId="0" borderId="6" xfId="0" applyNumberFormat="1" applyFont="1" applyBorder="1" applyAlignment="1" applyProtection="1">
      <alignment horizontal="left" shrinkToFit="1"/>
    </xf>
    <xf numFmtId="178" fontId="22" fillId="0" borderId="5" xfId="0" applyNumberFormat="1" applyFont="1" applyBorder="1" applyAlignment="1" applyProtection="1">
      <alignment horizontal="left" shrinkToFit="1"/>
    </xf>
    <xf numFmtId="178" fontId="22" fillId="0" borderId="3" xfId="0" applyNumberFormat="1" applyFont="1" applyBorder="1" applyAlignment="1" applyProtection="1">
      <alignment horizontal="left" shrinkToFit="1"/>
    </xf>
    <xf numFmtId="178" fontId="25" fillId="0" borderId="6" xfId="0" applyNumberFormat="1" applyFont="1" applyBorder="1" applyAlignment="1" applyProtection="1">
      <alignment horizontal="center" shrinkToFit="1"/>
    </xf>
    <xf numFmtId="178" fontId="25" fillId="0" borderId="3" xfId="0" applyNumberFormat="1" applyFont="1" applyBorder="1" applyAlignment="1" applyProtection="1">
      <alignment horizontal="center" shrinkToFit="1"/>
    </xf>
    <xf numFmtId="2" fontId="25" fillId="0" borderId="39" xfId="0" applyNumberFormat="1" applyFont="1" applyBorder="1" applyAlignment="1" applyProtection="1">
      <alignment horizontal="right"/>
    </xf>
    <xf numFmtId="178" fontId="25" fillId="0" borderId="39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 shrinkToFit="1"/>
    </xf>
    <xf numFmtId="0" fontId="25" fillId="0" borderId="3" xfId="0" applyFont="1" applyBorder="1" applyAlignment="1" applyProtection="1">
      <alignment horizontal="center" shrinkToFit="1"/>
    </xf>
    <xf numFmtId="178" fontId="10" fillId="0" borderId="34" xfId="0" applyNumberFormat="1" applyFont="1" applyBorder="1" applyAlignment="1" applyProtection="1">
      <alignment horizontal="left"/>
    </xf>
    <xf numFmtId="178" fontId="10" fillId="0" borderId="30" xfId="0" applyNumberFormat="1" applyFont="1" applyBorder="1" applyAlignment="1" applyProtection="1">
      <alignment horizontal="left"/>
    </xf>
    <xf numFmtId="178" fontId="10" fillId="0" borderId="45" xfId="0" applyNumberFormat="1" applyFont="1" applyBorder="1" applyAlignment="1" applyProtection="1">
      <alignment horizontal="left"/>
    </xf>
    <xf numFmtId="38" fontId="25" fillId="0" borderId="36" xfId="1" applyFont="1" applyBorder="1" applyAlignment="1" applyProtection="1">
      <alignment horizontal="right"/>
    </xf>
    <xf numFmtId="38" fontId="25" fillId="0" borderId="37" xfId="1" applyFont="1" applyBorder="1" applyAlignment="1" applyProtection="1">
      <alignment horizontal="right"/>
    </xf>
    <xf numFmtId="38" fontId="25" fillId="0" borderId="38" xfId="1" applyFont="1" applyBorder="1" applyAlignment="1" applyProtection="1">
      <alignment horizontal="right"/>
    </xf>
    <xf numFmtId="38" fontId="25" fillId="0" borderId="0" xfId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distributed"/>
    </xf>
    <xf numFmtId="178" fontId="25" fillId="0" borderId="37" xfId="0" applyNumberFormat="1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 2" xfId="3" xr:uid="{7E45AE4E-3BBE-4C73-8353-A9428DCE9C10}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133350</xdr:colOff>
      <xdr:row>11</xdr:row>
      <xdr:rowOff>38100</xdr:rowOff>
    </xdr:from>
    <xdr:to>
      <xdr:col>88</xdr:col>
      <xdr:colOff>95250</xdr:colOff>
      <xdr:row>18</xdr:row>
      <xdr:rowOff>276225</xdr:rowOff>
    </xdr:to>
    <xdr:sp macro="" textlink="">
      <xdr:nvSpPr>
        <xdr:cNvPr id="18747" name="右中かっこ 1">
          <a:extLst>
            <a:ext uri="{FF2B5EF4-FFF2-40B4-BE49-F238E27FC236}">
              <a16:creationId xmlns:a16="http://schemas.microsoft.com/office/drawing/2014/main" id="{00000000-0008-0000-0000-00003B490000}"/>
            </a:ext>
          </a:extLst>
        </xdr:cNvPr>
        <xdr:cNvSpPr>
          <a:spLocks/>
        </xdr:cNvSpPr>
      </xdr:nvSpPr>
      <xdr:spPr bwMode="auto">
        <a:xfrm>
          <a:off x="14678025" y="1971675"/>
          <a:ext cx="476250" cy="1590675"/>
        </a:xfrm>
        <a:prstGeom prst="rightBrace">
          <a:avLst>
            <a:gd name="adj1" fmla="val 8041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0</xdr:colOff>
      <xdr:row>21</xdr:row>
      <xdr:rowOff>0</xdr:rowOff>
    </xdr:from>
    <xdr:to>
      <xdr:col>88</xdr:col>
      <xdr:colOff>133350</xdr:colOff>
      <xdr:row>28</xdr:row>
      <xdr:rowOff>57150</xdr:rowOff>
    </xdr:to>
    <xdr:sp macro="" textlink="">
      <xdr:nvSpPr>
        <xdr:cNvPr id="18748" name="右中かっこ 5">
          <a:extLst>
            <a:ext uri="{FF2B5EF4-FFF2-40B4-BE49-F238E27FC236}">
              <a16:creationId xmlns:a16="http://schemas.microsoft.com/office/drawing/2014/main" id="{00000000-0008-0000-0000-00003C490000}"/>
            </a:ext>
          </a:extLst>
        </xdr:cNvPr>
        <xdr:cNvSpPr>
          <a:spLocks/>
        </xdr:cNvSpPr>
      </xdr:nvSpPr>
      <xdr:spPr bwMode="auto">
        <a:xfrm>
          <a:off x="14716125" y="3981450"/>
          <a:ext cx="476250" cy="1590675"/>
        </a:xfrm>
        <a:prstGeom prst="rightBrace">
          <a:avLst>
            <a:gd name="adj1" fmla="val 8041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0</xdr:colOff>
      <xdr:row>30</xdr:row>
      <xdr:rowOff>0</xdr:rowOff>
    </xdr:from>
    <xdr:to>
      <xdr:col>88</xdr:col>
      <xdr:colOff>133350</xdr:colOff>
      <xdr:row>37</xdr:row>
      <xdr:rowOff>57150</xdr:rowOff>
    </xdr:to>
    <xdr:sp macro="" textlink="">
      <xdr:nvSpPr>
        <xdr:cNvPr id="18749" name="右中かっこ 6">
          <a:extLst>
            <a:ext uri="{FF2B5EF4-FFF2-40B4-BE49-F238E27FC236}">
              <a16:creationId xmlns:a16="http://schemas.microsoft.com/office/drawing/2014/main" id="{00000000-0008-0000-0000-00003D490000}"/>
            </a:ext>
          </a:extLst>
        </xdr:cNvPr>
        <xdr:cNvSpPr>
          <a:spLocks/>
        </xdr:cNvSpPr>
      </xdr:nvSpPr>
      <xdr:spPr bwMode="auto">
        <a:xfrm>
          <a:off x="14716125" y="5867400"/>
          <a:ext cx="476250" cy="1590675"/>
        </a:xfrm>
        <a:prstGeom prst="rightBrace">
          <a:avLst>
            <a:gd name="adj1" fmla="val 8041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0</xdr:colOff>
      <xdr:row>14</xdr:row>
      <xdr:rowOff>59531</xdr:rowOff>
    </xdr:from>
    <xdr:to>
      <xdr:col>99</xdr:col>
      <xdr:colOff>39006</xdr:colOff>
      <xdr:row>16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78063" y="2583656"/>
          <a:ext cx="1643062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「償還表①」シートに転記されます。</a:t>
          </a:r>
        </a:p>
      </xdr:txBody>
    </xdr:sp>
    <xdr:clientData/>
  </xdr:twoCellAnchor>
  <xdr:twoCellAnchor>
    <xdr:from>
      <xdr:col>89</xdr:col>
      <xdr:colOff>60431</xdr:colOff>
      <xdr:row>23</xdr:row>
      <xdr:rowOff>178594</xdr:rowOff>
    </xdr:from>
    <xdr:to>
      <xdr:col>98</xdr:col>
      <xdr:colOff>69094</xdr:colOff>
      <xdr:row>26</xdr:row>
      <xdr:rowOff>46763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870907" y="4607719"/>
          <a:ext cx="1643062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「償還表②」シートに転記されます。</a:t>
          </a:r>
        </a:p>
      </xdr:txBody>
    </xdr:sp>
    <xdr:clientData/>
  </xdr:twoCellAnchor>
  <xdr:twoCellAnchor>
    <xdr:from>
      <xdr:col>90</xdr:col>
      <xdr:colOff>33337</xdr:colOff>
      <xdr:row>32</xdr:row>
      <xdr:rowOff>133349</xdr:rowOff>
    </xdr:from>
    <xdr:to>
      <xdr:col>99</xdr:col>
      <xdr:colOff>72343</xdr:colOff>
      <xdr:row>35</xdr:row>
      <xdr:rowOff>12073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001875" y="6476999"/>
          <a:ext cx="1643062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「償還表③」シートに転記されます。</a:t>
          </a:r>
        </a:p>
      </xdr:txBody>
    </xdr:sp>
    <xdr:clientData/>
  </xdr:twoCellAnchor>
  <xdr:twoCellAnchor>
    <xdr:from>
      <xdr:col>11</xdr:col>
      <xdr:colOff>107156</xdr:colOff>
      <xdr:row>18</xdr:row>
      <xdr:rowOff>321470</xdr:rowOff>
    </xdr:from>
    <xdr:to>
      <xdr:col>12</xdr:col>
      <xdr:colOff>155561</xdr:colOff>
      <xdr:row>19</xdr:row>
      <xdr:rowOff>153467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14F7CF54-BEA7-469C-809B-9F7E84522794}"/>
            </a:ext>
          </a:extLst>
        </xdr:cNvPr>
        <xdr:cNvSpPr/>
      </xdr:nvSpPr>
      <xdr:spPr>
        <a:xfrm rot="5400000">
          <a:off x="1935814" y="3636312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83344</xdr:colOff>
      <xdr:row>27</xdr:row>
      <xdr:rowOff>309563</xdr:rowOff>
    </xdr:from>
    <xdr:to>
      <xdr:col>12</xdr:col>
      <xdr:colOff>131749</xdr:colOff>
      <xdr:row>28</xdr:row>
      <xdr:rowOff>141560</xdr:rowOff>
    </xdr:to>
    <xdr:sp macro="" textlink="">
      <xdr:nvSpPr>
        <xdr:cNvPr id="11" name="矢印: 上向き折線 10">
          <a:extLst>
            <a:ext uri="{FF2B5EF4-FFF2-40B4-BE49-F238E27FC236}">
              <a16:creationId xmlns:a16="http://schemas.microsoft.com/office/drawing/2014/main" id="{AFC64B09-4737-459A-972E-217B3928A76D}"/>
            </a:ext>
          </a:extLst>
        </xdr:cNvPr>
        <xdr:cNvSpPr/>
      </xdr:nvSpPr>
      <xdr:spPr>
        <a:xfrm rot="5400000">
          <a:off x="1912002" y="5529405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95251</xdr:colOff>
      <xdr:row>36</xdr:row>
      <xdr:rowOff>309564</xdr:rowOff>
    </xdr:from>
    <xdr:to>
      <xdr:col>12</xdr:col>
      <xdr:colOff>143656</xdr:colOff>
      <xdr:row>37</xdr:row>
      <xdr:rowOff>141561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B5A69987-48F0-4515-82F0-DB504A7A57FD}"/>
            </a:ext>
          </a:extLst>
        </xdr:cNvPr>
        <xdr:cNvSpPr/>
      </xdr:nvSpPr>
      <xdr:spPr>
        <a:xfrm rot="5400000">
          <a:off x="1923909" y="7434406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83345</xdr:colOff>
      <xdr:row>18</xdr:row>
      <xdr:rowOff>321469</xdr:rowOff>
    </xdr:from>
    <xdr:to>
      <xdr:col>12</xdr:col>
      <xdr:colOff>131750</xdr:colOff>
      <xdr:row>19</xdr:row>
      <xdr:rowOff>153466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9667CD78-8868-4463-8382-B231F432EC67}"/>
            </a:ext>
          </a:extLst>
        </xdr:cNvPr>
        <xdr:cNvSpPr/>
      </xdr:nvSpPr>
      <xdr:spPr>
        <a:xfrm rot="5400000">
          <a:off x="1912003" y="3636311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71438</xdr:colOff>
      <xdr:row>27</xdr:row>
      <xdr:rowOff>297657</xdr:rowOff>
    </xdr:from>
    <xdr:to>
      <xdr:col>12</xdr:col>
      <xdr:colOff>119843</xdr:colOff>
      <xdr:row>28</xdr:row>
      <xdr:rowOff>129654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6B230AAB-F1AB-4ACD-9743-4E3EE1EDF698}"/>
            </a:ext>
          </a:extLst>
        </xdr:cNvPr>
        <xdr:cNvSpPr/>
      </xdr:nvSpPr>
      <xdr:spPr>
        <a:xfrm rot="5400000">
          <a:off x="1900096" y="5517499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83344</xdr:colOff>
      <xdr:row>36</xdr:row>
      <xdr:rowOff>309563</xdr:rowOff>
    </xdr:from>
    <xdr:to>
      <xdr:col>12</xdr:col>
      <xdr:colOff>131749</xdr:colOff>
      <xdr:row>37</xdr:row>
      <xdr:rowOff>141560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C1AB466A-E647-4EBC-9281-5635501471E0}"/>
            </a:ext>
          </a:extLst>
        </xdr:cNvPr>
        <xdr:cNvSpPr/>
      </xdr:nvSpPr>
      <xdr:spPr>
        <a:xfrm rot="5400000">
          <a:off x="1912002" y="7434405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18</xdr:row>
      <xdr:rowOff>297657</xdr:rowOff>
    </xdr:from>
    <xdr:to>
      <xdr:col>12</xdr:col>
      <xdr:colOff>143655</xdr:colOff>
      <xdr:row>19</xdr:row>
      <xdr:rowOff>129654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F8E837AC-ADEE-48E5-A315-4E379B832D49}"/>
            </a:ext>
          </a:extLst>
        </xdr:cNvPr>
        <xdr:cNvSpPr/>
      </xdr:nvSpPr>
      <xdr:spPr>
        <a:xfrm rot="5400000">
          <a:off x="1923908" y="3612499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27</xdr:row>
      <xdr:rowOff>309563</xdr:rowOff>
    </xdr:from>
    <xdr:to>
      <xdr:col>12</xdr:col>
      <xdr:colOff>143655</xdr:colOff>
      <xdr:row>28</xdr:row>
      <xdr:rowOff>141560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2606F1F6-EB85-47F3-9E11-61C5A322B0E6}"/>
            </a:ext>
          </a:extLst>
        </xdr:cNvPr>
        <xdr:cNvSpPr/>
      </xdr:nvSpPr>
      <xdr:spPr>
        <a:xfrm rot="5400000">
          <a:off x="1923908" y="5529405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36</xdr:row>
      <xdr:rowOff>285751</xdr:rowOff>
    </xdr:from>
    <xdr:to>
      <xdr:col>12</xdr:col>
      <xdr:colOff>143655</xdr:colOff>
      <xdr:row>37</xdr:row>
      <xdr:rowOff>117748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269B08E7-8EA6-446D-865D-3F9034390A16}"/>
            </a:ext>
          </a:extLst>
        </xdr:cNvPr>
        <xdr:cNvSpPr/>
      </xdr:nvSpPr>
      <xdr:spPr>
        <a:xfrm rot="5400000">
          <a:off x="1923908" y="7410593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18</xdr:row>
      <xdr:rowOff>321469</xdr:rowOff>
    </xdr:from>
    <xdr:to>
      <xdr:col>12</xdr:col>
      <xdr:colOff>143656</xdr:colOff>
      <xdr:row>19</xdr:row>
      <xdr:rowOff>153466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2BB82156-1311-4EA7-9447-A3D6DC2610CE}"/>
            </a:ext>
          </a:extLst>
        </xdr:cNvPr>
        <xdr:cNvSpPr/>
      </xdr:nvSpPr>
      <xdr:spPr>
        <a:xfrm rot="5400000">
          <a:off x="1923909" y="3636311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107156</xdr:colOff>
      <xdr:row>27</xdr:row>
      <xdr:rowOff>309563</xdr:rowOff>
    </xdr:from>
    <xdr:to>
      <xdr:col>12</xdr:col>
      <xdr:colOff>155561</xdr:colOff>
      <xdr:row>28</xdr:row>
      <xdr:rowOff>141560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A5E5F2B1-7300-40A9-BDB9-64E590D75F39}"/>
            </a:ext>
          </a:extLst>
        </xdr:cNvPr>
        <xdr:cNvSpPr/>
      </xdr:nvSpPr>
      <xdr:spPr>
        <a:xfrm rot="5400000">
          <a:off x="1935814" y="5529405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107156</xdr:colOff>
      <xdr:row>36</xdr:row>
      <xdr:rowOff>321473</xdr:rowOff>
    </xdr:from>
    <xdr:to>
      <xdr:col>12</xdr:col>
      <xdr:colOff>155561</xdr:colOff>
      <xdr:row>37</xdr:row>
      <xdr:rowOff>153470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36EE7B3E-6804-4326-BC45-3263FF37137F}"/>
            </a:ext>
          </a:extLst>
        </xdr:cNvPr>
        <xdr:cNvSpPr/>
      </xdr:nvSpPr>
      <xdr:spPr>
        <a:xfrm rot="5400000">
          <a:off x="1935814" y="7446315"/>
          <a:ext cx="177278" cy="215093"/>
        </a:xfrm>
        <a:prstGeom prst="bentUpArrow">
          <a:avLst>
            <a:gd name="adj1" fmla="val 25000"/>
            <a:gd name="adj2" fmla="val 36424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Z43"/>
  <sheetViews>
    <sheetView tabSelected="1" zoomScale="80" zoomScaleNormal="80" workbookViewId="0">
      <selection activeCell="C8" sqref="C8:F9"/>
    </sheetView>
  </sheetViews>
  <sheetFormatPr defaultColWidth="1.625" defaultRowHeight="20.100000000000001" customHeight="1" x14ac:dyDescent="0.15"/>
  <cols>
    <col min="1" max="1" width="2.5" style="48" customWidth="1"/>
    <col min="2" max="2" width="1.625" style="48"/>
    <col min="3" max="91" width="2.25" style="48" customWidth="1"/>
    <col min="92" max="92" width="1.625" style="48"/>
    <col min="93" max="93" width="9.125" style="50" bestFit="1" customWidth="1"/>
    <col min="94" max="104" width="1.625" style="48"/>
    <col min="105" max="16384" width="1.625" style="51"/>
  </cols>
  <sheetData>
    <row r="1" spans="1:104" ht="12.75" customHeight="1" x14ac:dyDescent="0.2">
      <c r="A1" s="269"/>
      <c r="B1" s="269"/>
      <c r="C1" s="269"/>
      <c r="D1" s="269"/>
      <c r="E1" s="269"/>
      <c r="F1" s="269"/>
      <c r="G1" s="269"/>
      <c r="H1" s="269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250" t="s">
        <v>19</v>
      </c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47"/>
      <c r="BF1" s="47"/>
      <c r="BG1" s="47"/>
      <c r="BH1" s="46"/>
      <c r="BI1" s="46"/>
      <c r="BJ1" s="46"/>
      <c r="BK1" s="46"/>
      <c r="BL1" s="46"/>
      <c r="BM1" s="46"/>
      <c r="BR1" s="311"/>
      <c r="BS1" s="312"/>
      <c r="BT1" s="312"/>
      <c r="BU1" s="312"/>
      <c r="BV1" s="312"/>
      <c r="BW1" s="312"/>
      <c r="BX1" s="312"/>
      <c r="BY1" s="103" t="s">
        <v>23</v>
      </c>
      <c r="BZ1" s="313"/>
      <c r="CA1" s="314"/>
      <c r="CB1" s="314"/>
      <c r="CC1" s="104" t="s">
        <v>24</v>
      </c>
      <c r="CD1" s="49"/>
      <c r="CE1" s="49"/>
    </row>
    <row r="2" spans="1:104" ht="12.75" customHeight="1" x14ac:dyDescent="0.15">
      <c r="A2" s="52"/>
      <c r="B2" s="52"/>
      <c r="C2" s="108" t="s">
        <v>683</v>
      </c>
      <c r="D2" s="52"/>
      <c r="E2" s="52"/>
      <c r="F2" s="52"/>
      <c r="G2" s="52"/>
      <c r="H2" s="52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H2" s="46"/>
      <c r="BI2" s="46"/>
      <c r="BJ2" s="46"/>
      <c r="BK2" s="46"/>
      <c r="BL2" s="46"/>
      <c r="BM2" s="46"/>
      <c r="BR2" s="105"/>
      <c r="BS2" s="106"/>
      <c r="BT2" s="106"/>
      <c r="BU2" s="313"/>
      <c r="BV2" s="314"/>
      <c r="BW2" s="106" t="s">
        <v>21</v>
      </c>
      <c r="BX2" s="313"/>
      <c r="BY2" s="314"/>
      <c r="BZ2" s="106" t="s">
        <v>25</v>
      </c>
      <c r="CA2" s="313"/>
      <c r="CB2" s="314"/>
      <c r="CC2" s="107" t="s">
        <v>26</v>
      </c>
      <c r="CD2" s="53"/>
      <c r="CE2" s="53"/>
    </row>
    <row r="3" spans="1:104" ht="12.75" customHeight="1" x14ac:dyDescent="0.15">
      <c r="Z3" s="54"/>
      <c r="BP3" s="55"/>
      <c r="BQ3" s="55"/>
      <c r="BR3" s="55"/>
      <c r="BS3" s="55"/>
      <c r="BT3" s="55"/>
      <c r="BU3" s="55"/>
      <c r="BV3" s="55"/>
      <c r="BW3" s="55"/>
      <c r="BX3" s="55"/>
      <c r="CG3" s="315"/>
      <c r="CH3" s="315"/>
      <c r="CI3" s="315"/>
      <c r="CJ3" s="315"/>
      <c r="CK3" s="315"/>
      <c r="CL3" s="315"/>
    </row>
    <row r="4" spans="1:104" ht="12.75" customHeight="1" x14ac:dyDescent="0.15">
      <c r="CG4" s="56"/>
      <c r="CH4" s="57"/>
      <c r="CI4" s="58"/>
      <c r="CJ4" s="56"/>
      <c r="CK4" s="57"/>
      <c r="CL4" s="58"/>
    </row>
    <row r="5" spans="1:104" ht="15.75" customHeight="1" x14ac:dyDescent="0.15">
      <c r="AV5" s="59"/>
      <c r="AW5" s="59"/>
      <c r="AX5" s="59" t="s">
        <v>12</v>
      </c>
      <c r="AY5" s="59"/>
      <c r="AZ5" s="60"/>
      <c r="BA5" s="60"/>
      <c r="BC5" s="259" t="s">
        <v>22</v>
      </c>
      <c r="BD5" s="259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61"/>
      <c r="CZ5" s="51"/>
    </row>
    <row r="6" spans="1:104" ht="15.75" customHeight="1" x14ac:dyDescent="0.15">
      <c r="A6" s="279"/>
      <c r="C6" s="251" t="s">
        <v>13</v>
      </c>
      <c r="D6" s="280"/>
      <c r="E6" s="280"/>
      <c r="F6" s="280"/>
      <c r="G6" s="297" t="s">
        <v>43</v>
      </c>
      <c r="H6" s="298"/>
      <c r="I6" s="283" t="s">
        <v>44</v>
      </c>
      <c r="J6" s="284"/>
      <c r="K6" s="285"/>
      <c r="L6" s="251" t="s">
        <v>17</v>
      </c>
      <c r="M6" s="338"/>
      <c r="N6" s="338"/>
      <c r="O6" s="339"/>
      <c r="P6" s="251" t="s">
        <v>17</v>
      </c>
      <c r="Q6" s="252"/>
      <c r="R6" s="62"/>
      <c r="S6" s="62" t="s">
        <v>674</v>
      </c>
      <c r="T6" s="62"/>
      <c r="U6" s="62"/>
      <c r="V6" s="63"/>
      <c r="W6" s="63"/>
      <c r="AB6" s="64"/>
      <c r="AC6" s="65"/>
      <c r="AD6" s="65"/>
      <c r="AE6" s="65"/>
      <c r="AF6" s="65"/>
      <c r="AG6" s="65"/>
      <c r="BC6" s="63"/>
      <c r="BD6" s="63"/>
      <c r="BE6" s="66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8"/>
      <c r="BZ6" s="68"/>
      <c r="CA6" s="68"/>
    </row>
    <row r="7" spans="1:104" ht="15.75" customHeight="1" x14ac:dyDescent="0.15">
      <c r="A7" s="279"/>
      <c r="C7" s="281" t="s">
        <v>37</v>
      </c>
      <c r="D7" s="282"/>
      <c r="E7" s="282"/>
      <c r="F7" s="282"/>
      <c r="G7" s="299"/>
      <c r="H7" s="300"/>
      <c r="I7" s="270" t="s">
        <v>16</v>
      </c>
      <c r="J7" s="271"/>
      <c r="K7" s="272"/>
      <c r="L7" s="281" t="s">
        <v>18</v>
      </c>
      <c r="M7" s="282"/>
      <c r="N7" s="282"/>
      <c r="O7" s="292"/>
      <c r="P7" s="281" t="s">
        <v>0</v>
      </c>
      <c r="Q7" s="292"/>
      <c r="R7" s="62"/>
      <c r="S7" s="62" t="s">
        <v>699</v>
      </c>
      <c r="T7" s="62"/>
      <c r="U7" s="62"/>
      <c r="V7" s="63"/>
      <c r="W7" s="63"/>
      <c r="X7" s="64"/>
      <c r="Y7" s="64"/>
      <c r="Z7" s="64"/>
      <c r="AA7" s="64"/>
      <c r="AB7" s="64"/>
      <c r="AC7" s="64"/>
      <c r="AD7" s="64"/>
      <c r="AE7" s="64"/>
      <c r="AF7" s="64"/>
      <c r="AG7" s="64"/>
      <c r="BC7" s="259" t="s">
        <v>20</v>
      </c>
      <c r="BD7" s="259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</row>
    <row r="8" spans="1:104" ht="15.75" customHeight="1" x14ac:dyDescent="0.15">
      <c r="A8" s="279"/>
      <c r="C8" s="286"/>
      <c r="D8" s="287"/>
      <c r="E8" s="287"/>
      <c r="F8" s="288"/>
      <c r="G8" s="303"/>
      <c r="H8" s="304"/>
      <c r="I8" s="273"/>
      <c r="J8" s="274"/>
      <c r="K8" s="275"/>
      <c r="L8" s="307"/>
      <c r="M8" s="340"/>
      <c r="N8" s="340"/>
      <c r="O8" s="341"/>
      <c r="P8" s="307"/>
      <c r="Q8" s="308"/>
      <c r="R8" s="293" t="s">
        <v>705</v>
      </c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62"/>
      <c r="BC8" s="69"/>
      <c r="BD8" s="69"/>
      <c r="BE8" s="70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8"/>
      <c r="BZ8" s="68"/>
      <c r="CA8" s="68"/>
    </row>
    <row r="9" spans="1:104" ht="15.75" customHeight="1" x14ac:dyDescent="0.15">
      <c r="A9" s="279"/>
      <c r="C9" s="289"/>
      <c r="D9" s="290"/>
      <c r="E9" s="290"/>
      <c r="F9" s="291"/>
      <c r="G9" s="305"/>
      <c r="H9" s="306"/>
      <c r="I9" s="276"/>
      <c r="J9" s="277"/>
      <c r="K9" s="278"/>
      <c r="L9" s="309"/>
      <c r="M9" s="342"/>
      <c r="N9" s="342"/>
      <c r="O9" s="310"/>
      <c r="P9" s="309"/>
      <c r="Q9" s="310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62"/>
      <c r="BC9" s="343" t="s">
        <v>32</v>
      </c>
      <c r="BD9" s="343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67"/>
      <c r="BX9" s="322"/>
      <c r="BY9" s="323"/>
      <c r="BZ9" s="68"/>
      <c r="CA9" s="68"/>
    </row>
    <row r="10" spans="1:104" ht="15.75" customHeight="1" x14ac:dyDescent="0.2">
      <c r="A10" s="279"/>
      <c r="C10" s="71"/>
      <c r="D10" s="72"/>
      <c r="E10" s="72"/>
      <c r="F10" s="72"/>
      <c r="G10" s="71"/>
      <c r="H10" s="71"/>
      <c r="I10" s="73"/>
      <c r="J10" s="73"/>
      <c r="K10" s="73"/>
      <c r="L10" s="74"/>
      <c r="M10" s="74"/>
      <c r="N10" s="74"/>
      <c r="O10" s="75"/>
      <c r="P10" s="75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C10" s="76"/>
      <c r="BD10" s="76"/>
      <c r="BE10" s="76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8"/>
      <c r="BX10" s="78"/>
      <c r="BY10" s="79"/>
      <c r="BZ10" s="80"/>
      <c r="CA10" s="80"/>
    </row>
    <row r="11" spans="1:104" ht="6.75" customHeight="1" x14ac:dyDescent="0.2">
      <c r="A11" s="279"/>
      <c r="C11" s="71"/>
      <c r="D11" s="72"/>
      <c r="E11" s="72"/>
      <c r="F11" s="72"/>
      <c r="G11" s="71"/>
      <c r="H11" s="71"/>
      <c r="I11" s="81"/>
      <c r="J11" s="81"/>
      <c r="K11" s="82"/>
      <c r="L11" s="82"/>
      <c r="M11" s="75"/>
      <c r="N11" s="75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C11" s="76"/>
      <c r="BD11" s="76"/>
      <c r="BE11" s="76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8"/>
      <c r="BX11" s="78"/>
      <c r="BY11" s="79"/>
      <c r="BZ11" s="80"/>
      <c r="CA11" s="80"/>
      <c r="CC11" s="55"/>
      <c r="CD11" s="55"/>
      <c r="CE11" s="55"/>
      <c r="CG11" s="55"/>
      <c r="CH11" s="55"/>
      <c r="CI11" s="55"/>
      <c r="CK11" s="55"/>
      <c r="CL11" s="55"/>
      <c r="CM11" s="55"/>
    </row>
    <row r="12" spans="1:104" ht="12.75" customHeight="1" x14ac:dyDescent="0.15">
      <c r="A12" s="279"/>
      <c r="C12" s="207" t="s">
        <v>41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 t="s">
        <v>5</v>
      </c>
      <c r="AR12" s="207"/>
      <c r="AS12" s="207"/>
      <c r="AT12" s="207"/>
      <c r="AU12" s="207"/>
      <c r="AV12" s="207"/>
      <c r="AW12" s="207"/>
      <c r="AX12" s="230"/>
      <c r="AY12" s="233" t="s">
        <v>28</v>
      </c>
      <c r="AZ12" s="234"/>
      <c r="BA12" s="234"/>
      <c r="BB12" s="234"/>
      <c r="BC12" s="234"/>
      <c r="BD12" s="235"/>
      <c r="BE12" s="233" t="s">
        <v>6</v>
      </c>
      <c r="BF12" s="234"/>
      <c r="BG12" s="234"/>
      <c r="BH12" s="234"/>
      <c r="BI12" s="234"/>
      <c r="BJ12" s="235"/>
      <c r="BK12" s="230" t="s">
        <v>31</v>
      </c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2"/>
      <c r="BW12" s="261" t="s">
        <v>1</v>
      </c>
      <c r="BX12" s="261"/>
      <c r="BY12" s="261" t="s">
        <v>2</v>
      </c>
      <c r="BZ12" s="261"/>
      <c r="CA12" s="263" t="s">
        <v>701</v>
      </c>
      <c r="CB12" s="263"/>
    </row>
    <row r="13" spans="1:104" ht="12.75" customHeight="1" x14ac:dyDescent="0.15"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30"/>
      <c r="AY13" s="236"/>
      <c r="AZ13" s="237"/>
      <c r="BA13" s="237"/>
      <c r="BB13" s="237"/>
      <c r="BC13" s="237"/>
      <c r="BD13" s="238"/>
      <c r="BE13" s="236"/>
      <c r="BF13" s="237"/>
      <c r="BG13" s="237"/>
      <c r="BH13" s="237"/>
      <c r="BI13" s="237"/>
      <c r="BJ13" s="237"/>
      <c r="BK13" s="265" t="s">
        <v>697</v>
      </c>
      <c r="BL13" s="266"/>
      <c r="BM13" s="266"/>
      <c r="BN13" s="266"/>
      <c r="BO13" s="266"/>
      <c r="BP13" s="267"/>
      <c r="BQ13" s="265" t="s">
        <v>698</v>
      </c>
      <c r="BR13" s="266"/>
      <c r="BS13" s="266"/>
      <c r="BT13" s="266"/>
      <c r="BU13" s="266"/>
      <c r="BV13" s="267"/>
      <c r="BW13" s="295"/>
      <c r="BX13" s="261"/>
      <c r="BY13" s="261"/>
      <c r="BZ13" s="261"/>
      <c r="CA13" s="263"/>
      <c r="CB13" s="263"/>
      <c r="CC13" s="80"/>
      <c r="CD13" s="80"/>
      <c r="CE13" s="80"/>
      <c r="CF13" s="80"/>
      <c r="CG13" s="80"/>
      <c r="CH13" s="80"/>
      <c r="CI13" s="327"/>
      <c r="CJ13" s="328"/>
      <c r="CK13" s="328"/>
      <c r="CL13" s="80"/>
      <c r="CM13" s="80"/>
      <c r="CN13" s="80"/>
      <c r="CO13" s="83"/>
      <c r="CP13" s="80"/>
      <c r="CQ13" s="51"/>
      <c r="CR13" s="51"/>
      <c r="CS13" s="51"/>
      <c r="CT13" s="51"/>
      <c r="CU13" s="51"/>
      <c r="CV13" s="51"/>
      <c r="CW13" s="51"/>
      <c r="CX13" s="51"/>
      <c r="CY13" s="51"/>
      <c r="CZ13" s="51"/>
    </row>
    <row r="14" spans="1:104" ht="18" customHeight="1" x14ac:dyDescent="0.15">
      <c r="C14" s="202" t="s">
        <v>700</v>
      </c>
      <c r="D14" s="202"/>
      <c r="E14" s="248"/>
      <c r="F14" s="249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2"/>
      <c r="AQ14" s="230" t="s">
        <v>42</v>
      </c>
      <c r="AR14" s="231"/>
      <c r="AS14" s="231"/>
      <c r="AT14" s="232"/>
      <c r="AU14" s="231" t="s">
        <v>0</v>
      </c>
      <c r="AV14" s="231"/>
      <c r="AW14" s="230" t="s">
        <v>4</v>
      </c>
      <c r="AX14" s="232"/>
      <c r="AY14" s="218" t="s">
        <v>8</v>
      </c>
      <c r="AZ14" s="219"/>
      <c r="BA14" s="219"/>
      <c r="BB14" s="219"/>
      <c r="BC14" s="219"/>
      <c r="BD14" s="247"/>
      <c r="BE14" s="218" t="s">
        <v>8</v>
      </c>
      <c r="BF14" s="219"/>
      <c r="BG14" s="219"/>
      <c r="BH14" s="219"/>
      <c r="BI14" s="219"/>
      <c r="BJ14" s="219"/>
      <c r="BK14" s="218"/>
      <c r="BL14" s="219"/>
      <c r="BM14" s="219"/>
      <c r="BN14" s="219"/>
      <c r="BO14" s="219"/>
      <c r="BP14" s="247"/>
      <c r="BQ14" s="218"/>
      <c r="BR14" s="219"/>
      <c r="BS14" s="219"/>
      <c r="BT14" s="219"/>
      <c r="BU14" s="219"/>
      <c r="BV14" s="247"/>
      <c r="BW14" s="296"/>
      <c r="BX14" s="262"/>
      <c r="BY14" s="262"/>
      <c r="BZ14" s="262"/>
      <c r="CA14" s="264"/>
      <c r="CB14" s="264"/>
      <c r="CC14" s="80"/>
      <c r="CD14" s="80"/>
      <c r="CE14" s="80"/>
      <c r="CF14" s="80"/>
      <c r="CG14" s="80"/>
      <c r="CH14" s="80"/>
      <c r="CI14" s="328"/>
      <c r="CJ14" s="328"/>
      <c r="CK14" s="328"/>
      <c r="CL14" s="80"/>
      <c r="CM14" s="80"/>
      <c r="CN14" s="80"/>
      <c r="CO14" s="83"/>
      <c r="CP14" s="80"/>
      <c r="CQ14" s="51"/>
      <c r="CR14" s="51"/>
      <c r="CS14" s="51"/>
      <c r="CT14" s="51"/>
      <c r="CU14" s="51"/>
      <c r="CV14" s="51"/>
      <c r="CW14" s="51"/>
      <c r="CX14" s="51"/>
      <c r="CY14" s="51"/>
      <c r="CZ14" s="51"/>
    </row>
    <row r="15" spans="1:104" s="87" customFormat="1" ht="27" customHeight="1" x14ac:dyDescent="0.2">
      <c r="A15" s="84"/>
      <c r="B15" s="84"/>
      <c r="C15" s="202" t="s">
        <v>39</v>
      </c>
      <c r="D15" s="202"/>
      <c r="E15" s="244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6"/>
      <c r="AQ15" s="171"/>
      <c r="AR15" s="169"/>
      <c r="AS15" s="169"/>
      <c r="AT15" s="172"/>
      <c r="AU15" s="171"/>
      <c r="AV15" s="172"/>
      <c r="AW15" s="171"/>
      <c r="AX15" s="172"/>
      <c r="AY15" s="223"/>
      <c r="AZ15" s="224"/>
      <c r="BA15" s="224"/>
      <c r="BB15" s="224"/>
      <c r="BC15" s="224"/>
      <c r="BD15" s="224"/>
      <c r="BE15" s="225"/>
      <c r="BF15" s="226"/>
      <c r="BG15" s="226"/>
      <c r="BH15" s="226"/>
      <c r="BI15" s="226"/>
      <c r="BJ15" s="226"/>
      <c r="BK15" s="227" t="str">
        <f>IFERROR(BE15-BQ15*((BW15-BY15)*CO15-1),"")</f>
        <v/>
      </c>
      <c r="BL15" s="227"/>
      <c r="BM15" s="227"/>
      <c r="BN15" s="227"/>
      <c r="BO15" s="227"/>
      <c r="BP15" s="227"/>
      <c r="BQ15" s="227" t="str">
        <f>IFERROR(ROUNDDOWN(BE15/((BW15-BY15)*CO15),0),"")</f>
        <v/>
      </c>
      <c r="BR15" s="227"/>
      <c r="BS15" s="227"/>
      <c r="BT15" s="227"/>
      <c r="BU15" s="227"/>
      <c r="BV15" s="227"/>
      <c r="BW15" s="201"/>
      <c r="BX15" s="201"/>
      <c r="BY15" s="201"/>
      <c r="BZ15" s="201"/>
      <c r="CA15" s="198"/>
      <c r="CB15" s="198"/>
      <c r="CC15" s="85"/>
      <c r="CD15" s="85"/>
      <c r="CE15" s="85"/>
      <c r="CF15" s="84"/>
      <c r="CG15" s="84"/>
      <c r="CH15" s="84"/>
      <c r="CI15" s="84"/>
      <c r="CJ15" s="84"/>
      <c r="CK15" s="84"/>
      <c r="CL15" s="85"/>
      <c r="CM15" s="85"/>
      <c r="CN15" s="85"/>
      <c r="CO15" s="86" t="e">
        <f>VALUE(IF(CA15="１  年賦",1,IF(CA15="２  半年賦",2,"")))</f>
        <v>#VALUE!</v>
      </c>
      <c r="CP15" s="85"/>
      <c r="CQ15" s="85"/>
      <c r="CR15" s="85"/>
      <c r="CS15" s="85"/>
    </row>
    <row r="16" spans="1:104" ht="12.2" customHeight="1" x14ac:dyDescent="0.15">
      <c r="C16" s="242" t="s">
        <v>675</v>
      </c>
      <c r="D16" s="243"/>
      <c r="E16" s="209"/>
      <c r="F16" s="210"/>
      <c r="G16" s="206" t="s">
        <v>29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8" t="s">
        <v>676</v>
      </c>
      <c r="R16" s="209"/>
      <c r="S16" s="209"/>
      <c r="T16" s="210"/>
      <c r="U16" s="205" t="s">
        <v>40</v>
      </c>
      <c r="V16" s="205"/>
      <c r="W16" s="205" t="s">
        <v>679</v>
      </c>
      <c r="X16" s="205"/>
      <c r="Y16" s="205" t="s">
        <v>27</v>
      </c>
      <c r="Z16" s="205"/>
      <c r="AA16" s="205"/>
      <c r="AB16" s="212" t="s">
        <v>696</v>
      </c>
      <c r="AC16" s="213"/>
      <c r="AD16" s="218" t="s">
        <v>34</v>
      </c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20" t="s">
        <v>30</v>
      </c>
      <c r="BK16" s="268"/>
      <c r="BL16" s="268"/>
      <c r="BM16" s="268"/>
      <c r="BN16" s="268"/>
      <c r="BO16" s="268"/>
      <c r="BP16" s="268"/>
      <c r="BQ16" s="222"/>
      <c r="BR16" s="51"/>
      <c r="BS16" s="51"/>
      <c r="BT16" s="51"/>
      <c r="BU16" s="51"/>
      <c r="BV16" s="51"/>
      <c r="BW16" s="88"/>
      <c r="BX16" s="88"/>
      <c r="BY16" s="88"/>
      <c r="BZ16" s="88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8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</row>
    <row r="17" spans="1:104" ht="12.2" customHeight="1" x14ac:dyDescent="0.15">
      <c r="C17" s="211"/>
      <c r="D17" s="209"/>
      <c r="E17" s="209"/>
      <c r="F17" s="210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11"/>
      <c r="R17" s="209"/>
      <c r="S17" s="209"/>
      <c r="T17" s="210"/>
      <c r="U17" s="205"/>
      <c r="V17" s="205"/>
      <c r="W17" s="205"/>
      <c r="X17" s="205"/>
      <c r="Y17" s="205"/>
      <c r="Z17" s="205"/>
      <c r="AA17" s="205"/>
      <c r="AB17" s="214"/>
      <c r="AC17" s="215"/>
      <c r="AD17" s="218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193" t="s">
        <v>703</v>
      </c>
      <c r="BK17" s="193"/>
      <c r="BL17" s="193"/>
      <c r="BM17" s="193"/>
      <c r="BN17" s="193" t="s">
        <v>704</v>
      </c>
      <c r="BO17" s="193"/>
      <c r="BP17" s="193"/>
      <c r="BQ17" s="193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89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</row>
    <row r="18" spans="1:104" ht="12.2" customHeight="1" x14ac:dyDescent="0.15">
      <c r="C18" s="194" t="s">
        <v>9</v>
      </c>
      <c r="D18" s="195"/>
      <c r="E18" s="195"/>
      <c r="F18" s="196"/>
      <c r="G18" s="200" t="s">
        <v>10</v>
      </c>
      <c r="H18" s="200"/>
      <c r="I18" s="200"/>
      <c r="J18" s="200"/>
      <c r="K18" s="200"/>
      <c r="L18" s="200" t="s">
        <v>11</v>
      </c>
      <c r="M18" s="200"/>
      <c r="N18" s="200"/>
      <c r="O18" s="200"/>
      <c r="P18" s="200"/>
      <c r="Q18" s="194" t="s">
        <v>9</v>
      </c>
      <c r="R18" s="195"/>
      <c r="S18" s="195"/>
      <c r="T18" s="196"/>
      <c r="U18" s="205"/>
      <c r="V18" s="205"/>
      <c r="W18" s="205"/>
      <c r="X18" s="205"/>
      <c r="Y18" s="205"/>
      <c r="Z18" s="205"/>
      <c r="AA18" s="205"/>
      <c r="AB18" s="216"/>
      <c r="AC18" s="217"/>
      <c r="AD18" s="218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193" t="s">
        <v>3</v>
      </c>
      <c r="BK18" s="193"/>
      <c r="BL18" s="193" t="s">
        <v>4</v>
      </c>
      <c r="BM18" s="193"/>
      <c r="BN18" s="193" t="s">
        <v>3</v>
      </c>
      <c r="BO18" s="193"/>
      <c r="BP18" s="193" t="s">
        <v>4</v>
      </c>
      <c r="BQ18" s="193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89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</row>
    <row r="19" spans="1:104" s="87" customFormat="1" ht="27" customHeight="1" x14ac:dyDescent="0.15">
      <c r="A19" s="84"/>
      <c r="B19" s="84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197"/>
      <c r="V19" s="197"/>
      <c r="W19" s="197"/>
      <c r="X19" s="197"/>
      <c r="Y19" s="197"/>
      <c r="Z19" s="197"/>
      <c r="AA19" s="197"/>
      <c r="AB19" s="198"/>
      <c r="AC19" s="198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201"/>
      <c r="BK19" s="201"/>
      <c r="BL19" s="192">
        <v>20</v>
      </c>
      <c r="BM19" s="192"/>
      <c r="BN19" s="201"/>
      <c r="BO19" s="201"/>
      <c r="BP19" s="192">
        <v>20</v>
      </c>
      <c r="BQ19" s="192"/>
      <c r="CO19" s="90"/>
    </row>
    <row r="20" spans="1:104" ht="15" customHeight="1" x14ac:dyDescent="0.15">
      <c r="H20" s="54"/>
      <c r="N20" s="173" t="s">
        <v>792</v>
      </c>
      <c r="AE20" s="54"/>
    </row>
    <row r="21" spans="1:104" ht="12.75" customHeight="1" x14ac:dyDescent="0.15">
      <c r="A21" s="91"/>
      <c r="C21" s="207" t="s">
        <v>41</v>
      </c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 t="s">
        <v>5</v>
      </c>
      <c r="AR21" s="207"/>
      <c r="AS21" s="207"/>
      <c r="AT21" s="207"/>
      <c r="AU21" s="207"/>
      <c r="AV21" s="207"/>
      <c r="AW21" s="207"/>
      <c r="AX21" s="230"/>
      <c r="AY21" s="233" t="s">
        <v>28</v>
      </c>
      <c r="AZ21" s="234"/>
      <c r="BA21" s="234"/>
      <c r="BB21" s="234"/>
      <c r="BC21" s="234"/>
      <c r="BD21" s="235"/>
      <c r="BE21" s="233" t="s">
        <v>6</v>
      </c>
      <c r="BF21" s="234"/>
      <c r="BG21" s="234"/>
      <c r="BH21" s="234"/>
      <c r="BI21" s="234"/>
      <c r="BJ21" s="235"/>
      <c r="BK21" s="230" t="s">
        <v>31</v>
      </c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2"/>
      <c r="BW21" s="261" t="s">
        <v>1</v>
      </c>
      <c r="BX21" s="261"/>
      <c r="BY21" s="261" t="s">
        <v>2</v>
      </c>
      <c r="BZ21" s="261"/>
      <c r="CA21" s="263" t="s">
        <v>701</v>
      </c>
      <c r="CB21" s="263"/>
    </row>
    <row r="22" spans="1:104" ht="12.75" customHeight="1" x14ac:dyDescent="0.15"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30"/>
      <c r="AY22" s="236"/>
      <c r="AZ22" s="237"/>
      <c r="BA22" s="237"/>
      <c r="BB22" s="237"/>
      <c r="BC22" s="237"/>
      <c r="BD22" s="238"/>
      <c r="BE22" s="236"/>
      <c r="BF22" s="237"/>
      <c r="BG22" s="237"/>
      <c r="BH22" s="237"/>
      <c r="BI22" s="237"/>
      <c r="BJ22" s="237"/>
      <c r="BK22" s="265" t="s">
        <v>697</v>
      </c>
      <c r="BL22" s="266"/>
      <c r="BM22" s="266"/>
      <c r="BN22" s="266"/>
      <c r="BO22" s="266"/>
      <c r="BP22" s="267"/>
      <c r="BQ22" s="265" t="s">
        <v>698</v>
      </c>
      <c r="BR22" s="266"/>
      <c r="BS22" s="266"/>
      <c r="BT22" s="266"/>
      <c r="BU22" s="266"/>
      <c r="BV22" s="267"/>
      <c r="BW22" s="295"/>
      <c r="BX22" s="261"/>
      <c r="BY22" s="261"/>
      <c r="BZ22" s="261"/>
      <c r="CA22" s="263"/>
      <c r="CB22" s="263"/>
      <c r="CC22" s="80"/>
      <c r="CD22" s="80"/>
      <c r="CE22" s="80"/>
      <c r="CF22" s="80"/>
      <c r="CG22" s="80"/>
      <c r="CH22" s="80"/>
      <c r="CI22" s="327"/>
      <c r="CJ22" s="328"/>
      <c r="CK22" s="328"/>
      <c r="CL22" s="80"/>
      <c r="CM22" s="80"/>
      <c r="CN22" s="80"/>
      <c r="CO22" s="83"/>
      <c r="CP22" s="80"/>
      <c r="CQ22" s="51"/>
      <c r="CR22" s="51"/>
      <c r="CS22" s="51"/>
      <c r="CT22" s="51"/>
      <c r="CU22" s="51"/>
      <c r="CV22" s="51"/>
      <c r="CW22" s="51"/>
      <c r="CX22" s="51"/>
      <c r="CY22" s="51"/>
      <c r="CZ22" s="51"/>
    </row>
    <row r="23" spans="1:104" ht="18" customHeight="1" x14ac:dyDescent="0.15">
      <c r="C23" s="202" t="s">
        <v>38</v>
      </c>
      <c r="D23" s="202"/>
      <c r="E23" s="333"/>
      <c r="F23" s="334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30" t="s">
        <v>42</v>
      </c>
      <c r="AR23" s="231"/>
      <c r="AS23" s="231"/>
      <c r="AT23" s="232"/>
      <c r="AU23" s="231" t="s">
        <v>7</v>
      </c>
      <c r="AV23" s="231"/>
      <c r="AW23" s="230" t="s">
        <v>4</v>
      </c>
      <c r="AX23" s="232"/>
      <c r="AY23" s="239" t="s">
        <v>8</v>
      </c>
      <c r="AZ23" s="240"/>
      <c r="BA23" s="240"/>
      <c r="BB23" s="240"/>
      <c r="BC23" s="240"/>
      <c r="BD23" s="241"/>
      <c r="BE23" s="239" t="s">
        <v>8</v>
      </c>
      <c r="BF23" s="240"/>
      <c r="BG23" s="240"/>
      <c r="BH23" s="240"/>
      <c r="BI23" s="240"/>
      <c r="BJ23" s="240"/>
      <c r="BK23" s="335"/>
      <c r="BL23" s="336"/>
      <c r="BM23" s="336"/>
      <c r="BN23" s="336"/>
      <c r="BO23" s="336"/>
      <c r="BP23" s="337"/>
      <c r="BQ23" s="335"/>
      <c r="BR23" s="336"/>
      <c r="BS23" s="336"/>
      <c r="BT23" s="336"/>
      <c r="BU23" s="336"/>
      <c r="BV23" s="337"/>
      <c r="BW23" s="295"/>
      <c r="BX23" s="261"/>
      <c r="BY23" s="261"/>
      <c r="BZ23" s="261"/>
      <c r="CA23" s="263"/>
      <c r="CB23" s="263"/>
      <c r="CC23" s="80"/>
      <c r="CD23" s="80"/>
      <c r="CE23" s="80"/>
      <c r="CF23" s="80"/>
      <c r="CG23" s="80"/>
      <c r="CH23" s="80"/>
      <c r="CI23" s="328"/>
      <c r="CJ23" s="328"/>
      <c r="CK23" s="328"/>
      <c r="CL23" s="80"/>
      <c r="CM23" s="80"/>
      <c r="CN23" s="80"/>
      <c r="CO23" s="83"/>
      <c r="CP23" s="80"/>
      <c r="CQ23" s="51"/>
      <c r="CR23" s="51"/>
      <c r="CS23" s="51"/>
      <c r="CT23" s="51"/>
      <c r="CU23" s="51"/>
      <c r="CV23" s="51"/>
      <c r="CW23" s="51"/>
      <c r="CX23" s="51"/>
      <c r="CY23" s="51"/>
      <c r="CZ23" s="51"/>
    </row>
    <row r="24" spans="1:104" s="87" customFormat="1" ht="27" customHeight="1" x14ac:dyDescent="0.2">
      <c r="A24" s="84"/>
      <c r="B24" s="84"/>
      <c r="C24" s="202" t="s">
        <v>39</v>
      </c>
      <c r="D24" s="202"/>
      <c r="E24" s="244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6"/>
      <c r="AQ24" s="171"/>
      <c r="AR24" s="169"/>
      <c r="AS24" s="169"/>
      <c r="AT24" s="172"/>
      <c r="AU24" s="171"/>
      <c r="AV24" s="172"/>
      <c r="AW24" s="171"/>
      <c r="AX24" s="172"/>
      <c r="AY24" s="223"/>
      <c r="AZ24" s="224"/>
      <c r="BA24" s="224"/>
      <c r="BB24" s="224"/>
      <c r="BC24" s="224"/>
      <c r="BD24" s="224"/>
      <c r="BE24" s="225"/>
      <c r="BF24" s="226"/>
      <c r="BG24" s="226"/>
      <c r="BH24" s="226"/>
      <c r="BI24" s="226"/>
      <c r="BJ24" s="226"/>
      <c r="BK24" s="227" t="str">
        <f>IFERROR(BE24-BQ24*((BW24-BY24)*CO24-1),"")</f>
        <v/>
      </c>
      <c r="BL24" s="227"/>
      <c r="BM24" s="227"/>
      <c r="BN24" s="227"/>
      <c r="BO24" s="227"/>
      <c r="BP24" s="227"/>
      <c r="BQ24" s="227" t="str">
        <f>IFERROR(ROUNDDOWN(BE24/((BW24-BY24)*CO24),0),"")</f>
        <v/>
      </c>
      <c r="BR24" s="227"/>
      <c r="BS24" s="227"/>
      <c r="BT24" s="227"/>
      <c r="BU24" s="227"/>
      <c r="BV24" s="227"/>
      <c r="BW24" s="201"/>
      <c r="BX24" s="201"/>
      <c r="BY24" s="201"/>
      <c r="BZ24" s="201"/>
      <c r="CA24" s="198"/>
      <c r="CB24" s="198"/>
      <c r="CC24" s="85"/>
      <c r="CD24" s="85"/>
      <c r="CE24" s="85"/>
      <c r="CF24" s="84"/>
      <c r="CG24" s="84"/>
      <c r="CH24" s="84"/>
      <c r="CI24" s="84"/>
      <c r="CJ24" s="84"/>
      <c r="CK24" s="84"/>
      <c r="CL24" s="85"/>
      <c r="CM24" s="85"/>
      <c r="CN24" s="85"/>
      <c r="CO24" s="86" t="str">
        <f>IF(CA24="１  年賦",1,IF(CA24="２  半年賦",2,""))</f>
        <v/>
      </c>
      <c r="CP24" s="85"/>
      <c r="CQ24" s="85"/>
      <c r="CR24" s="85"/>
      <c r="CS24" s="85"/>
    </row>
    <row r="25" spans="1:104" ht="12.2" customHeight="1" x14ac:dyDescent="0.15">
      <c r="C25" s="242" t="s">
        <v>675</v>
      </c>
      <c r="D25" s="243"/>
      <c r="E25" s="209"/>
      <c r="F25" s="210"/>
      <c r="G25" s="206" t="s">
        <v>29</v>
      </c>
      <c r="H25" s="206"/>
      <c r="I25" s="206"/>
      <c r="J25" s="206"/>
      <c r="K25" s="206"/>
      <c r="L25" s="206"/>
      <c r="M25" s="206"/>
      <c r="N25" s="206"/>
      <c r="O25" s="206"/>
      <c r="P25" s="206"/>
      <c r="Q25" s="208" t="s">
        <v>676</v>
      </c>
      <c r="R25" s="209"/>
      <c r="S25" s="209"/>
      <c r="T25" s="210"/>
      <c r="U25" s="205" t="s">
        <v>40</v>
      </c>
      <c r="V25" s="205"/>
      <c r="W25" s="205" t="s">
        <v>679</v>
      </c>
      <c r="X25" s="205"/>
      <c r="Y25" s="205" t="s">
        <v>27</v>
      </c>
      <c r="Z25" s="205"/>
      <c r="AA25" s="205"/>
      <c r="AB25" s="212" t="s">
        <v>696</v>
      </c>
      <c r="AC25" s="213"/>
      <c r="AD25" s="218" t="s">
        <v>34</v>
      </c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20" t="s">
        <v>30</v>
      </c>
      <c r="BK25" s="221"/>
      <c r="BL25" s="221"/>
      <c r="BM25" s="221"/>
      <c r="BN25" s="221"/>
      <c r="BO25" s="221"/>
      <c r="BP25" s="221"/>
      <c r="BQ25" s="222"/>
      <c r="BR25" s="51"/>
      <c r="BS25" s="51"/>
      <c r="BT25" s="51"/>
      <c r="BU25" s="51"/>
      <c r="BV25" s="51"/>
      <c r="BW25" s="88"/>
      <c r="BX25" s="88"/>
      <c r="BY25" s="88"/>
      <c r="BZ25" s="88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89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</row>
    <row r="26" spans="1:104" ht="12.2" customHeight="1" x14ac:dyDescent="0.15">
      <c r="C26" s="211"/>
      <c r="D26" s="209"/>
      <c r="E26" s="209"/>
      <c r="F26" s="210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11"/>
      <c r="R26" s="209"/>
      <c r="S26" s="209"/>
      <c r="T26" s="210"/>
      <c r="U26" s="205"/>
      <c r="V26" s="205"/>
      <c r="W26" s="205"/>
      <c r="X26" s="205"/>
      <c r="Y26" s="205"/>
      <c r="Z26" s="205"/>
      <c r="AA26" s="205"/>
      <c r="AB26" s="214"/>
      <c r="AC26" s="215"/>
      <c r="AD26" s="218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193" t="s">
        <v>703</v>
      </c>
      <c r="BK26" s="193"/>
      <c r="BL26" s="193"/>
      <c r="BM26" s="193"/>
      <c r="BN26" s="193" t="s">
        <v>704</v>
      </c>
      <c r="BO26" s="193"/>
      <c r="BP26" s="193"/>
      <c r="BQ26" s="193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89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</row>
    <row r="27" spans="1:104" ht="12.2" customHeight="1" x14ac:dyDescent="0.15">
      <c r="C27" s="194" t="s">
        <v>9</v>
      </c>
      <c r="D27" s="195"/>
      <c r="E27" s="195"/>
      <c r="F27" s="196"/>
      <c r="G27" s="200" t="s">
        <v>10</v>
      </c>
      <c r="H27" s="200"/>
      <c r="I27" s="200"/>
      <c r="J27" s="200"/>
      <c r="K27" s="200"/>
      <c r="L27" s="200" t="s">
        <v>11</v>
      </c>
      <c r="M27" s="200"/>
      <c r="N27" s="200"/>
      <c r="O27" s="200"/>
      <c r="P27" s="200"/>
      <c r="Q27" s="194" t="s">
        <v>9</v>
      </c>
      <c r="R27" s="195"/>
      <c r="S27" s="195"/>
      <c r="T27" s="196"/>
      <c r="U27" s="205"/>
      <c r="V27" s="205"/>
      <c r="W27" s="205"/>
      <c r="X27" s="205"/>
      <c r="Y27" s="205"/>
      <c r="Z27" s="205"/>
      <c r="AA27" s="205"/>
      <c r="AB27" s="216"/>
      <c r="AC27" s="217"/>
      <c r="AD27" s="218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193" t="s">
        <v>3</v>
      </c>
      <c r="BK27" s="193"/>
      <c r="BL27" s="193" t="s">
        <v>4</v>
      </c>
      <c r="BM27" s="193"/>
      <c r="BN27" s="193" t="s">
        <v>3</v>
      </c>
      <c r="BO27" s="193"/>
      <c r="BP27" s="193" t="s">
        <v>4</v>
      </c>
      <c r="BQ27" s="193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89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</row>
    <row r="28" spans="1:104" s="87" customFormat="1" ht="27" customHeight="1" x14ac:dyDescent="0.15">
      <c r="A28" s="84"/>
      <c r="B28" s="84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197"/>
      <c r="V28" s="197"/>
      <c r="W28" s="197"/>
      <c r="X28" s="197"/>
      <c r="Y28" s="197"/>
      <c r="Z28" s="197"/>
      <c r="AA28" s="197"/>
      <c r="AB28" s="198"/>
      <c r="AC28" s="198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201"/>
      <c r="BK28" s="201"/>
      <c r="BL28" s="192">
        <v>20</v>
      </c>
      <c r="BM28" s="192"/>
      <c r="BN28" s="201"/>
      <c r="BO28" s="201"/>
      <c r="BP28" s="192">
        <v>20</v>
      </c>
      <c r="BQ28" s="192"/>
      <c r="CO28" s="90"/>
    </row>
    <row r="29" spans="1:104" ht="15" customHeight="1" x14ac:dyDescent="0.15">
      <c r="H29" s="54"/>
      <c r="N29" s="173" t="s">
        <v>792</v>
      </c>
      <c r="AE29" s="54"/>
    </row>
    <row r="30" spans="1:104" ht="12.75" customHeight="1" x14ac:dyDescent="0.15">
      <c r="A30" s="91"/>
      <c r="C30" s="207" t="s">
        <v>41</v>
      </c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 t="s">
        <v>5</v>
      </c>
      <c r="AR30" s="207"/>
      <c r="AS30" s="207"/>
      <c r="AT30" s="207"/>
      <c r="AU30" s="207"/>
      <c r="AV30" s="207"/>
      <c r="AW30" s="207"/>
      <c r="AX30" s="230"/>
      <c r="AY30" s="233" t="s">
        <v>28</v>
      </c>
      <c r="AZ30" s="234"/>
      <c r="BA30" s="234"/>
      <c r="BB30" s="234"/>
      <c r="BC30" s="234"/>
      <c r="BD30" s="235"/>
      <c r="BE30" s="233" t="s">
        <v>6</v>
      </c>
      <c r="BF30" s="234"/>
      <c r="BG30" s="234"/>
      <c r="BH30" s="234"/>
      <c r="BI30" s="234"/>
      <c r="BJ30" s="235"/>
      <c r="BK30" s="230" t="s">
        <v>31</v>
      </c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2"/>
      <c r="BW30" s="261" t="s">
        <v>1</v>
      </c>
      <c r="BX30" s="261"/>
      <c r="BY30" s="261" t="s">
        <v>2</v>
      </c>
      <c r="BZ30" s="261"/>
      <c r="CA30" s="263" t="s">
        <v>701</v>
      </c>
      <c r="CB30" s="263"/>
    </row>
    <row r="31" spans="1:104" ht="12.75" customHeight="1" x14ac:dyDescent="0.15"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30"/>
      <c r="AY31" s="236"/>
      <c r="AZ31" s="237"/>
      <c r="BA31" s="237"/>
      <c r="BB31" s="237"/>
      <c r="BC31" s="237"/>
      <c r="BD31" s="238"/>
      <c r="BE31" s="236"/>
      <c r="BF31" s="237"/>
      <c r="BG31" s="237"/>
      <c r="BH31" s="237"/>
      <c r="BI31" s="237"/>
      <c r="BJ31" s="237"/>
      <c r="BK31" s="265" t="s">
        <v>697</v>
      </c>
      <c r="BL31" s="266"/>
      <c r="BM31" s="266"/>
      <c r="BN31" s="266"/>
      <c r="BO31" s="266"/>
      <c r="BP31" s="267"/>
      <c r="BQ31" s="265" t="s">
        <v>698</v>
      </c>
      <c r="BR31" s="266"/>
      <c r="BS31" s="266"/>
      <c r="BT31" s="266"/>
      <c r="BU31" s="266"/>
      <c r="BV31" s="267"/>
      <c r="BW31" s="295"/>
      <c r="BX31" s="261"/>
      <c r="BY31" s="261"/>
      <c r="BZ31" s="261"/>
      <c r="CA31" s="263"/>
      <c r="CB31" s="263"/>
      <c r="CC31" s="80"/>
      <c r="CD31" s="80"/>
      <c r="CE31" s="80"/>
      <c r="CF31" s="80"/>
      <c r="CG31" s="80"/>
      <c r="CH31" s="80"/>
      <c r="CI31" s="327"/>
      <c r="CJ31" s="328"/>
      <c r="CK31" s="328"/>
      <c r="CL31" s="80"/>
      <c r="CM31" s="80"/>
      <c r="CN31" s="80"/>
      <c r="CO31" s="83"/>
      <c r="CP31" s="80"/>
      <c r="CQ31" s="51"/>
      <c r="CR31" s="51"/>
      <c r="CS31" s="51"/>
      <c r="CT31" s="51"/>
      <c r="CU31" s="51"/>
      <c r="CV31" s="51"/>
      <c r="CW31" s="51"/>
      <c r="CX31" s="51"/>
      <c r="CY31" s="51"/>
      <c r="CZ31" s="51"/>
    </row>
    <row r="32" spans="1:104" ht="18" customHeight="1" x14ac:dyDescent="0.15">
      <c r="C32" s="202" t="s">
        <v>38</v>
      </c>
      <c r="D32" s="202"/>
      <c r="E32" s="333"/>
      <c r="F32" s="334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9"/>
      <c r="AQ32" s="230" t="s">
        <v>42</v>
      </c>
      <c r="AR32" s="231"/>
      <c r="AS32" s="231"/>
      <c r="AT32" s="232"/>
      <c r="AU32" s="231" t="s">
        <v>0</v>
      </c>
      <c r="AV32" s="231"/>
      <c r="AW32" s="230" t="s">
        <v>4</v>
      </c>
      <c r="AX32" s="232"/>
      <c r="AY32" s="239" t="s">
        <v>8</v>
      </c>
      <c r="AZ32" s="240"/>
      <c r="BA32" s="240"/>
      <c r="BB32" s="240"/>
      <c r="BC32" s="240"/>
      <c r="BD32" s="241"/>
      <c r="BE32" s="239" t="s">
        <v>8</v>
      </c>
      <c r="BF32" s="240"/>
      <c r="BG32" s="240"/>
      <c r="BH32" s="240"/>
      <c r="BI32" s="240"/>
      <c r="BJ32" s="240"/>
      <c r="BK32" s="335"/>
      <c r="BL32" s="336"/>
      <c r="BM32" s="336"/>
      <c r="BN32" s="336"/>
      <c r="BO32" s="336"/>
      <c r="BP32" s="337"/>
      <c r="BQ32" s="335"/>
      <c r="BR32" s="336"/>
      <c r="BS32" s="336"/>
      <c r="BT32" s="336"/>
      <c r="BU32" s="336"/>
      <c r="BV32" s="337"/>
      <c r="BW32" s="295"/>
      <c r="BX32" s="261"/>
      <c r="BY32" s="261"/>
      <c r="BZ32" s="261"/>
      <c r="CA32" s="263"/>
      <c r="CB32" s="263"/>
      <c r="CC32" s="80"/>
      <c r="CD32" s="80"/>
      <c r="CE32" s="80"/>
      <c r="CF32" s="80"/>
      <c r="CG32" s="80"/>
      <c r="CH32" s="80"/>
      <c r="CI32" s="328"/>
      <c r="CJ32" s="328"/>
      <c r="CK32" s="328"/>
      <c r="CL32" s="80"/>
      <c r="CM32" s="80"/>
      <c r="CN32" s="80"/>
      <c r="CO32" s="83"/>
      <c r="CP32" s="80"/>
      <c r="CQ32" s="51"/>
      <c r="CR32" s="51"/>
      <c r="CS32" s="51"/>
      <c r="CT32" s="51"/>
      <c r="CU32" s="51"/>
      <c r="CV32" s="51"/>
      <c r="CW32" s="51"/>
      <c r="CX32" s="51"/>
      <c r="CY32" s="51"/>
      <c r="CZ32" s="51"/>
    </row>
    <row r="33" spans="1:104" s="87" customFormat="1" ht="27" customHeight="1" x14ac:dyDescent="0.2">
      <c r="A33" s="84"/>
      <c r="B33" s="84"/>
      <c r="C33" s="202" t="s">
        <v>39</v>
      </c>
      <c r="D33" s="202"/>
      <c r="E33" s="244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6"/>
      <c r="AQ33" s="171"/>
      <c r="AR33" s="169"/>
      <c r="AS33" s="169"/>
      <c r="AT33" s="172"/>
      <c r="AU33" s="171"/>
      <c r="AV33" s="172"/>
      <c r="AW33" s="171"/>
      <c r="AX33" s="172"/>
      <c r="AY33" s="223"/>
      <c r="AZ33" s="224"/>
      <c r="BA33" s="224"/>
      <c r="BB33" s="224"/>
      <c r="BC33" s="224"/>
      <c r="BD33" s="224"/>
      <c r="BE33" s="225"/>
      <c r="BF33" s="226"/>
      <c r="BG33" s="226"/>
      <c r="BH33" s="226"/>
      <c r="BI33" s="226"/>
      <c r="BJ33" s="226"/>
      <c r="BK33" s="227" t="str">
        <f>IFERROR(BE33-BQ33*((BW33-BY33)*CO33-1),"")</f>
        <v/>
      </c>
      <c r="BL33" s="227"/>
      <c r="BM33" s="227"/>
      <c r="BN33" s="227"/>
      <c r="BO33" s="227"/>
      <c r="BP33" s="227"/>
      <c r="BQ33" s="227" t="str">
        <f>IFERROR(ROUNDDOWN(BE33/((BW33-BY33)*CO33),0),"")</f>
        <v/>
      </c>
      <c r="BR33" s="227"/>
      <c r="BS33" s="227"/>
      <c r="BT33" s="227"/>
      <c r="BU33" s="227"/>
      <c r="BV33" s="227"/>
      <c r="BW33" s="201"/>
      <c r="BX33" s="201"/>
      <c r="BY33" s="201"/>
      <c r="BZ33" s="201"/>
      <c r="CA33" s="198"/>
      <c r="CB33" s="198"/>
      <c r="CC33" s="85"/>
      <c r="CD33" s="85"/>
      <c r="CE33" s="85"/>
      <c r="CF33" s="84"/>
      <c r="CG33" s="84"/>
      <c r="CH33" s="84"/>
      <c r="CI33" s="84"/>
      <c r="CJ33" s="84"/>
      <c r="CK33" s="84"/>
      <c r="CL33" s="85"/>
      <c r="CM33" s="85"/>
      <c r="CN33" s="85"/>
      <c r="CO33" s="86" t="str">
        <f>IF(CA33="１  年賦",1,IF(CA33="２  半年賦",2,""))</f>
        <v/>
      </c>
      <c r="CP33" s="85"/>
      <c r="CQ33" s="85"/>
      <c r="CR33" s="85"/>
      <c r="CS33" s="85"/>
    </row>
    <row r="34" spans="1:104" ht="12.2" customHeight="1" x14ac:dyDescent="0.15">
      <c r="C34" s="242" t="s">
        <v>675</v>
      </c>
      <c r="D34" s="243"/>
      <c r="E34" s="209"/>
      <c r="F34" s="210"/>
      <c r="G34" s="206" t="s">
        <v>29</v>
      </c>
      <c r="H34" s="206"/>
      <c r="I34" s="206"/>
      <c r="J34" s="206"/>
      <c r="K34" s="206"/>
      <c r="L34" s="206"/>
      <c r="M34" s="206"/>
      <c r="N34" s="206"/>
      <c r="O34" s="206"/>
      <c r="P34" s="206"/>
      <c r="Q34" s="208" t="s">
        <v>676</v>
      </c>
      <c r="R34" s="209"/>
      <c r="S34" s="209"/>
      <c r="T34" s="210"/>
      <c r="U34" s="205" t="s">
        <v>40</v>
      </c>
      <c r="V34" s="205"/>
      <c r="W34" s="205" t="s">
        <v>679</v>
      </c>
      <c r="X34" s="205"/>
      <c r="Y34" s="205" t="s">
        <v>27</v>
      </c>
      <c r="Z34" s="205"/>
      <c r="AA34" s="205"/>
      <c r="AB34" s="212" t="s">
        <v>696</v>
      </c>
      <c r="AC34" s="213"/>
      <c r="AD34" s="218" t="s">
        <v>34</v>
      </c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20" t="s">
        <v>30</v>
      </c>
      <c r="BK34" s="221"/>
      <c r="BL34" s="221"/>
      <c r="BM34" s="221"/>
      <c r="BN34" s="221"/>
      <c r="BO34" s="221"/>
      <c r="BP34" s="221"/>
      <c r="BQ34" s="222"/>
      <c r="BR34" s="51"/>
      <c r="BS34" s="51"/>
      <c r="BT34" s="51"/>
      <c r="BU34" s="51"/>
      <c r="BV34" s="51"/>
      <c r="BW34" s="88"/>
      <c r="BX34" s="88"/>
      <c r="BY34" s="88"/>
      <c r="BZ34" s="88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89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</row>
    <row r="35" spans="1:104" ht="12.2" customHeight="1" x14ac:dyDescent="0.15">
      <c r="C35" s="211"/>
      <c r="D35" s="209"/>
      <c r="E35" s="209"/>
      <c r="F35" s="210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11"/>
      <c r="R35" s="209"/>
      <c r="S35" s="209"/>
      <c r="T35" s="210"/>
      <c r="U35" s="205"/>
      <c r="V35" s="205"/>
      <c r="W35" s="205"/>
      <c r="X35" s="205"/>
      <c r="Y35" s="205"/>
      <c r="Z35" s="205"/>
      <c r="AA35" s="205"/>
      <c r="AB35" s="214"/>
      <c r="AC35" s="215"/>
      <c r="AD35" s="218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193" t="s">
        <v>703</v>
      </c>
      <c r="BK35" s="193"/>
      <c r="BL35" s="193"/>
      <c r="BM35" s="193"/>
      <c r="BN35" s="193" t="s">
        <v>704</v>
      </c>
      <c r="BO35" s="193"/>
      <c r="BP35" s="193"/>
      <c r="BQ35" s="193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89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</row>
    <row r="36" spans="1:104" ht="12.2" customHeight="1" x14ac:dyDescent="0.15">
      <c r="C36" s="194" t="s">
        <v>9</v>
      </c>
      <c r="D36" s="195"/>
      <c r="E36" s="195"/>
      <c r="F36" s="196"/>
      <c r="G36" s="200" t="s">
        <v>10</v>
      </c>
      <c r="H36" s="200"/>
      <c r="I36" s="200"/>
      <c r="J36" s="200"/>
      <c r="K36" s="200"/>
      <c r="L36" s="200" t="s">
        <v>11</v>
      </c>
      <c r="M36" s="200"/>
      <c r="N36" s="200"/>
      <c r="O36" s="200"/>
      <c r="P36" s="200"/>
      <c r="Q36" s="194" t="s">
        <v>9</v>
      </c>
      <c r="R36" s="195"/>
      <c r="S36" s="195"/>
      <c r="T36" s="196"/>
      <c r="U36" s="205"/>
      <c r="V36" s="205"/>
      <c r="W36" s="205"/>
      <c r="X36" s="205"/>
      <c r="Y36" s="205"/>
      <c r="Z36" s="205"/>
      <c r="AA36" s="205"/>
      <c r="AB36" s="216"/>
      <c r="AC36" s="217"/>
      <c r="AD36" s="218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193" t="s">
        <v>3</v>
      </c>
      <c r="BK36" s="193"/>
      <c r="BL36" s="193" t="s">
        <v>4</v>
      </c>
      <c r="BM36" s="193"/>
      <c r="BN36" s="193" t="s">
        <v>3</v>
      </c>
      <c r="BO36" s="193"/>
      <c r="BP36" s="193" t="s">
        <v>4</v>
      </c>
      <c r="BQ36" s="193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89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</row>
    <row r="37" spans="1:104" s="87" customFormat="1" ht="27" customHeight="1" x14ac:dyDescent="0.15">
      <c r="A37" s="84"/>
      <c r="B37" s="84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197"/>
      <c r="V37" s="197"/>
      <c r="W37" s="197"/>
      <c r="X37" s="197"/>
      <c r="Y37" s="197"/>
      <c r="Z37" s="197"/>
      <c r="AA37" s="197"/>
      <c r="AB37" s="198"/>
      <c r="AC37" s="198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201"/>
      <c r="BK37" s="201"/>
      <c r="BL37" s="192">
        <v>20</v>
      </c>
      <c r="BM37" s="192"/>
      <c r="BN37" s="201"/>
      <c r="BO37" s="201"/>
      <c r="BP37" s="192">
        <v>20</v>
      </c>
      <c r="BQ37" s="192"/>
      <c r="CO37" s="90"/>
    </row>
    <row r="38" spans="1:104" s="87" customFormat="1" ht="27" customHeight="1" x14ac:dyDescent="0.2">
      <c r="A38" s="84"/>
      <c r="B38" s="84"/>
      <c r="C38" s="92"/>
      <c r="D38" s="92"/>
      <c r="E38" s="92"/>
      <c r="F38" s="92"/>
      <c r="G38" s="93"/>
      <c r="H38" s="93"/>
      <c r="I38" s="93"/>
      <c r="J38" s="93"/>
      <c r="K38" s="93"/>
      <c r="L38" s="93"/>
      <c r="M38" s="93"/>
      <c r="N38" s="174" t="s">
        <v>792</v>
      </c>
      <c r="O38" s="93"/>
      <c r="P38" s="93"/>
      <c r="Q38" s="93"/>
      <c r="R38" s="93"/>
      <c r="S38" s="93"/>
      <c r="T38" s="93"/>
      <c r="U38" s="71"/>
      <c r="V38" s="71"/>
      <c r="W38" s="73"/>
      <c r="X38" s="73"/>
      <c r="Y38" s="71"/>
      <c r="Z38" s="71"/>
      <c r="AA38" s="71"/>
      <c r="AB38" s="73"/>
      <c r="AC38" s="73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5"/>
      <c r="BK38" s="96"/>
      <c r="BL38" s="97"/>
      <c r="BM38" s="96"/>
      <c r="BN38" s="95"/>
      <c r="BO38" s="96"/>
      <c r="BP38" s="97"/>
      <c r="BQ38" s="96"/>
      <c r="CO38" s="90"/>
    </row>
    <row r="39" spans="1:104" ht="5.25" customHeight="1" thickBot="1" x14ac:dyDescent="0.2"/>
    <row r="40" spans="1:104" ht="20.100000000000001" customHeight="1" x14ac:dyDescent="0.15">
      <c r="C40" s="253" t="s">
        <v>569</v>
      </c>
      <c r="D40" s="254"/>
      <c r="E40" s="254"/>
      <c r="F40" s="254"/>
      <c r="G40" s="254"/>
      <c r="H40" s="254"/>
      <c r="I40" s="254"/>
      <c r="J40" s="255"/>
      <c r="BR40" s="329" t="s">
        <v>13</v>
      </c>
      <c r="BS40" s="330"/>
      <c r="BT40" s="331"/>
      <c r="BU40" s="98"/>
      <c r="BV40" s="329" t="s">
        <v>14</v>
      </c>
      <c r="BW40" s="330"/>
      <c r="BX40" s="331"/>
      <c r="BY40" s="98"/>
      <c r="BZ40" s="329" t="s">
        <v>15</v>
      </c>
      <c r="CA40" s="330"/>
      <c r="CB40" s="331"/>
    </row>
    <row r="41" spans="1:104" ht="20.100000000000001" customHeight="1" thickBot="1" x14ac:dyDescent="0.2">
      <c r="C41" s="256"/>
      <c r="D41" s="257"/>
      <c r="E41" s="257"/>
      <c r="F41" s="257"/>
      <c r="G41" s="257"/>
      <c r="H41" s="257"/>
      <c r="I41" s="257"/>
      <c r="J41" s="258"/>
      <c r="BR41" s="324" t="s">
        <v>702</v>
      </c>
      <c r="BS41" s="325"/>
      <c r="BT41" s="326"/>
      <c r="BU41" s="98"/>
      <c r="BV41" s="324" t="s">
        <v>702</v>
      </c>
      <c r="BW41" s="325"/>
      <c r="BX41" s="326"/>
      <c r="BY41" s="98"/>
      <c r="BZ41" s="324" t="s">
        <v>702</v>
      </c>
      <c r="CA41" s="325"/>
      <c r="CB41" s="326"/>
    </row>
    <row r="42" spans="1:104" ht="20.100000000000001" customHeight="1" x14ac:dyDescent="0.15">
      <c r="BR42" s="316"/>
      <c r="BS42" s="317"/>
      <c r="BT42" s="318"/>
      <c r="BU42" s="99"/>
      <c r="BV42" s="316"/>
      <c r="BW42" s="317"/>
      <c r="BX42" s="318"/>
      <c r="BY42" s="99"/>
      <c r="BZ42" s="316"/>
      <c r="CA42" s="317"/>
      <c r="CB42" s="318"/>
    </row>
    <row r="43" spans="1:104" ht="20.100000000000001" customHeight="1" x14ac:dyDescent="0.15">
      <c r="BR43" s="319"/>
      <c r="BS43" s="320"/>
      <c r="BT43" s="321"/>
      <c r="BV43" s="319"/>
      <c r="BW43" s="320"/>
      <c r="BX43" s="321"/>
      <c r="BZ43" s="319"/>
      <c r="CA43" s="320"/>
      <c r="CB43" s="321"/>
    </row>
  </sheetData>
  <sheetProtection sheet="1" selectLockedCells="1"/>
  <dataConsolidate/>
  <mergeCells count="222">
    <mergeCell ref="L6:O6"/>
    <mergeCell ref="L7:O7"/>
    <mergeCell ref="L8:O9"/>
    <mergeCell ref="AB19:AC19"/>
    <mergeCell ref="BJ18:BK18"/>
    <mergeCell ref="BL18:BM18"/>
    <mergeCell ref="BJ19:BK19"/>
    <mergeCell ref="AD19:BI19"/>
    <mergeCell ref="BN27:BO27"/>
    <mergeCell ref="C12:AP13"/>
    <mergeCell ref="AU14:AV14"/>
    <mergeCell ref="AQ14:AT14"/>
    <mergeCell ref="C15:D15"/>
    <mergeCell ref="W16:X18"/>
    <mergeCell ref="Y16:AA18"/>
    <mergeCell ref="C18:F18"/>
    <mergeCell ref="G18:K18"/>
    <mergeCell ref="L18:P18"/>
    <mergeCell ref="AD16:BI18"/>
    <mergeCell ref="BC9:BD9"/>
    <mergeCell ref="BN19:BO19"/>
    <mergeCell ref="BL19:BM19"/>
    <mergeCell ref="BK21:BV21"/>
    <mergeCell ref="BP19:BQ19"/>
    <mergeCell ref="BP27:BQ27"/>
    <mergeCell ref="E33:AP33"/>
    <mergeCell ref="C34:F35"/>
    <mergeCell ref="BK22:BP23"/>
    <mergeCell ref="BQ22:BV23"/>
    <mergeCell ref="BK31:BP32"/>
    <mergeCell ref="BQ31:BV32"/>
    <mergeCell ref="W25:X27"/>
    <mergeCell ref="Y25:AA27"/>
    <mergeCell ref="AB28:AC28"/>
    <mergeCell ref="AD28:BI28"/>
    <mergeCell ref="BJ28:BK28"/>
    <mergeCell ref="BP28:BQ28"/>
    <mergeCell ref="C28:F28"/>
    <mergeCell ref="G28:K28"/>
    <mergeCell ref="L28:P28"/>
    <mergeCell ref="Q28:T28"/>
    <mergeCell ref="U28:V28"/>
    <mergeCell ref="W28:X28"/>
    <mergeCell ref="BL28:BM28"/>
    <mergeCell ref="BN28:BO28"/>
    <mergeCell ref="Y28:AA28"/>
    <mergeCell ref="C32:D32"/>
    <mergeCell ref="E32:F32"/>
    <mergeCell ref="G19:K19"/>
    <mergeCell ref="L19:P19"/>
    <mergeCell ref="U19:V19"/>
    <mergeCell ref="W19:X19"/>
    <mergeCell ref="Y19:AA19"/>
    <mergeCell ref="Q19:T19"/>
    <mergeCell ref="C19:F19"/>
    <mergeCell ref="AY23:BD23"/>
    <mergeCell ref="BE23:BJ23"/>
    <mergeCell ref="C23:D23"/>
    <mergeCell ref="E23:F23"/>
    <mergeCell ref="G23:AP23"/>
    <mergeCell ref="AQ23:AT23"/>
    <mergeCell ref="AU23:AV23"/>
    <mergeCell ref="AW23:AX23"/>
    <mergeCell ref="CJ3:CL3"/>
    <mergeCell ref="BR42:BT43"/>
    <mergeCell ref="BV42:BX43"/>
    <mergeCell ref="BZ42:CB43"/>
    <mergeCell ref="BX9:BY9"/>
    <mergeCell ref="CG3:CI3"/>
    <mergeCell ref="BR41:BT41"/>
    <mergeCell ref="BV41:BX41"/>
    <mergeCell ref="BZ41:CB41"/>
    <mergeCell ref="CI22:CK23"/>
    <mergeCell ref="BR40:BT40"/>
    <mergeCell ref="BV40:BX40"/>
    <mergeCell ref="CI13:CK14"/>
    <mergeCell ref="BZ40:CB40"/>
    <mergeCell ref="BW21:BX23"/>
    <mergeCell ref="BY21:BZ23"/>
    <mergeCell ref="CA21:CB23"/>
    <mergeCell ref="BY33:BZ33"/>
    <mergeCell ref="BY30:BZ32"/>
    <mergeCell ref="CA30:CB32"/>
    <mergeCell ref="BW30:BX32"/>
    <mergeCell ref="CA33:CB33"/>
    <mergeCell ref="CI31:CK32"/>
    <mergeCell ref="BE9:BV9"/>
    <mergeCell ref="A1:H1"/>
    <mergeCell ref="I7:K7"/>
    <mergeCell ref="I8:K9"/>
    <mergeCell ref="A6:A12"/>
    <mergeCell ref="C6:F6"/>
    <mergeCell ref="C7:F7"/>
    <mergeCell ref="I6:K6"/>
    <mergeCell ref="BE5:BZ5"/>
    <mergeCell ref="BK12:BV12"/>
    <mergeCell ref="C8:F9"/>
    <mergeCell ref="P7:Q7"/>
    <mergeCell ref="AY12:BD13"/>
    <mergeCell ref="R8:AZ9"/>
    <mergeCell ref="BW12:BX14"/>
    <mergeCell ref="G6:H7"/>
    <mergeCell ref="BE14:BJ14"/>
    <mergeCell ref="G14:AP14"/>
    <mergeCell ref="G8:H9"/>
    <mergeCell ref="P8:Q9"/>
    <mergeCell ref="BR1:BX1"/>
    <mergeCell ref="BZ1:CB1"/>
    <mergeCell ref="BU2:BV2"/>
    <mergeCell ref="CA2:CB2"/>
    <mergeCell ref="BX2:BY2"/>
    <mergeCell ref="AC1:BC2"/>
    <mergeCell ref="P6:Q6"/>
    <mergeCell ref="C40:J41"/>
    <mergeCell ref="BC5:BD5"/>
    <mergeCell ref="BC7:BD7"/>
    <mergeCell ref="BE7:CA7"/>
    <mergeCell ref="BW15:BX15"/>
    <mergeCell ref="C21:AP22"/>
    <mergeCell ref="AQ21:AX22"/>
    <mergeCell ref="AY21:BD22"/>
    <mergeCell ref="BJ17:BM17"/>
    <mergeCell ref="BE21:BJ22"/>
    <mergeCell ref="BY15:BZ15"/>
    <mergeCell ref="CA15:CB15"/>
    <mergeCell ref="BK15:BP15"/>
    <mergeCell ref="BQ15:BV15"/>
    <mergeCell ref="BY12:BZ14"/>
    <mergeCell ref="CA12:CB14"/>
    <mergeCell ref="BK13:BP14"/>
    <mergeCell ref="BQ13:BV14"/>
    <mergeCell ref="AY15:BD15"/>
    <mergeCell ref="BJ16:BQ16"/>
    <mergeCell ref="Q18:T18"/>
    <mergeCell ref="BN18:BO18"/>
    <mergeCell ref="BE12:BJ13"/>
    <mergeCell ref="AY14:BD14"/>
    <mergeCell ref="BE15:BJ15"/>
    <mergeCell ref="BP18:BQ18"/>
    <mergeCell ref="BN17:BQ17"/>
    <mergeCell ref="E15:AP15"/>
    <mergeCell ref="E14:F14"/>
    <mergeCell ref="C16:F17"/>
    <mergeCell ref="U16:V18"/>
    <mergeCell ref="C14:D14"/>
    <mergeCell ref="AQ12:AX13"/>
    <mergeCell ref="Q16:T17"/>
    <mergeCell ref="G16:P17"/>
    <mergeCell ref="AB16:AC18"/>
    <mergeCell ref="AW14:AX14"/>
    <mergeCell ref="CA24:CB24"/>
    <mergeCell ref="C25:F26"/>
    <mergeCell ref="G25:P26"/>
    <mergeCell ref="Q25:T26"/>
    <mergeCell ref="AB25:AC27"/>
    <mergeCell ref="AD25:BI27"/>
    <mergeCell ref="BJ25:BQ25"/>
    <mergeCell ref="BJ26:BM26"/>
    <mergeCell ref="C24:D24"/>
    <mergeCell ref="E24:AP24"/>
    <mergeCell ref="AY24:BD24"/>
    <mergeCell ref="BE24:BJ24"/>
    <mergeCell ref="BK24:BP24"/>
    <mergeCell ref="BQ24:BV24"/>
    <mergeCell ref="BN26:BQ26"/>
    <mergeCell ref="C27:F27"/>
    <mergeCell ref="G27:K27"/>
    <mergeCell ref="L27:P27"/>
    <mergeCell ref="Q27:T27"/>
    <mergeCell ref="BJ27:BK27"/>
    <mergeCell ref="BL27:BM27"/>
    <mergeCell ref="U25:V27"/>
    <mergeCell ref="BW24:BX24"/>
    <mergeCell ref="BY24:BZ24"/>
    <mergeCell ref="G32:AP32"/>
    <mergeCell ref="AQ32:AT32"/>
    <mergeCell ref="AU32:AV32"/>
    <mergeCell ref="AQ30:AX31"/>
    <mergeCell ref="AY30:BD31"/>
    <mergeCell ref="BE30:BJ31"/>
    <mergeCell ref="BK30:BV30"/>
    <mergeCell ref="AW32:AX32"/>
    <mergeCell ref="AY32:BD32"/>
    <mergeCell ref="BE32:BJ32"/>
    <mergeCell ref="C30:AP31"/>
    <mergeCell ref="BW33:BX33"/>
    <mergeCell ref="U34:V36"/>
    <mergeCell ref="W34:X36"/>
    <mergeCell ref="Y34:AA36"/>
    <mergeCell ref="G34:P35"/>
    <mergeCell ref="Q34:T35"/>
    <mergeCell ref="AB34:AC36"/>
    <mergeCell ref="AD34:BI36"/>
    <mergeCell ref="BJ34:BQ34"/>
    <mergeCell ref="BJ35:BM35"/>
    <mergeCell ref="BN35:BQ35"/>
    <mergeCell ref="AY33:BD33"/>
    <mergeCell ref="BE33:BJ33"/>
    <mergeCell ref="BK33:BP33"/>
    <mergeCell ref="BQ33:BV33"/>
    <mergeCell ref="BJ36:BK36"/>
    <mergeCell ref="BL36:BM36"/>
    <mergeCell ref="BN36:BO36"/>
    <mergeCell ref="C33:D33"/>
    <mergeCell ref="C37:F37"/>
    <mergeCell ref="G37:K37"/>
    <mergeCell ref="L37:P37"/>
    <mergeCell ref="Q37:T37"/>
    <mergeCell ref="U37:V37"/>
    <mergeCell ref="L36:P36"/>
    <mergeCell ref="Q36:T36"/>
    <mergeCell ref="BN37:BO37"/>
    <mergeCell ref="BP37:BQ37"/>
    <mergeCell ref="BP36:BQ36"/>
    <mergeCell ref="C36:F36"/>
    <mergeCell ref="W37:X37"/>
    <mergeCell ref="Y37:AA37"/>
    <mergeCell ref="AB37:AC37"/>
    <mergeCell ref="AD37:BI37"/>
    <mergeCell ref="G36:K36"/>
    <mergeCell ref="BJ37:BK37"/>
    <mergeCell ref="BL37:BM37"/>
  </mergeCells>
  <phoneticPr fontId="2"/>
  <dataValidations count="9">
    <dataValidation type="list" errorStyle="warning" allowBlank="1" showInputMessage="1" showErrorMessage="1" sqref="G8:H9" xr:uid="{00000000-0002-0000-0000-000000000000}">
      <formula1>"01　さいたま,02　川越,03　東松山,04　秩父,05　本庄,06　大里,07　加須,08　春日部"</formula1>
    </dataValidation>
    <dataValidation type="list" errorStyle="warning" allowBlank="1" showInputMessage="1" showErrorMessage="1" sqref="P8:Q9" xr:uid="{00000000-0002-0000-0000-000001000000}">
      <formula1>"５,７,９,１１,１,３"</formula1>
    </dataValidation>
    <dataValidation type="list" allowBlank="1" showInputMessage="1" showErrorMessage="1" sqref="AB38:AC38" xr:uid="{00000000-0002-0000-0000-000002000000}">
      <formula1>"１　あり,２　なし"</formula1>
    </dataValidation>
    <dataValidation type="list" allowBlank="1" showInputMessage="1" showErrorMessage="1" sqref="BJ19:BK19 BN19:BO19 BN37:BO38 BN28:BO28 BJ28:BK28 BJ37:BK38" xr:uid="{00000000-0002-0000-0000-000003000000}">
      <formula1>"1,3,5,7,9,11"</formula1>
    </dataValidation>
    <dataValidation allowBlank="1" showInputMessage="1" showErrorMessage="1" prompt="コード表シートを参考に入力してください。" sqref="C8:F9 U19:AA19 U28:AA28 U37:AA37" xr:uid="{00000000-0002-0000-0000-000004000000}"/>
    <dataValidation type="whole" errorStyle="warning" allowBlank="1" showInputMessage="1" showErrorMessage="1" prompt="西暦で入力してください。_x000a_また、年ではなく年度です。誤りにご注意ください。_x000a_例：2021年3月　→　2020年度のため2020と入力。" sqref="L8" xr:uid="{00000000-0002-0000-0000-000005000000}">
      <formula1>2020</formula1>
      <formula2>2050</formula2>
    </dataValidation>
    <dataValidation type="list" allowBlank="1" showInputMessage="1" showErrorMessage="1" sqref="AB19:AC19 AB28:AC28 AB37:AC37" xr:uid="{00000000-0002-0000-0000-000006000000}">
      <formula1>"１　　あり,２　　なし"</formula1>
    </dataValidation>
    <dataValidation type="list" allowBlank="1" showInputMessage="1" showErrorMessage="1" sqref="CA15:CB15 CA24:CB24 CA33:CB33" xr:uid="{00000000-0002-0000-0000-000007000000}">
      <formula1>"１  年賦,２  半年賦"</formula1>
    </dataValidation>
    <dataValidation allowBlank="1" showInputMessage="1" showErrorMessage="1" prompt="「基準金利ー利子補給率」の数値が入る" sqref="Q19:T19 Q28:T28 Q37:T37" xr:uid="{009EB7B6-2FC5-4D5E-B2E4-97C21D4886AA}"/>
  </dataValidations>
  <printOptions horizontalCentered="1" verticalCentered="1"/>
  <pageMargins left="0.23622047244094491" right="0.23622047244094491" top="0.39370078740157483" bottom="0.19685039370078741" header="0.51181102362204722" footer="0.51181102362204722"/>
  <pageSetup paperSize="9" scale="8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8000000}">
          <x14:formula1>
            <xm:f>ｺｰﾄﾞ表!$J$2:$J$15</xm:f>
          </x14:formula1>
          <xm:sqref>E14:F14 E23:F23 E32:F32</xm:sqref>
        </x14:dataValidation>
        <x14:dataValidation type="list" errorStyle="warning" showInputMessage="1" showErrorMessage="1" xr:uid="{00000000-0002-0000-0000-000009000000}">
          <x14:formula1>
            <xm:f>ｺｰﾄﾞ表!$H$2:$H$65</xm:f>
          </x14:formula1>
          <xm:sqref>I8:K9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Z43"/>
  <sheetViews>
    <sheetView zoomScale="80" zoomScaleNormal="80" workbookViewId="0">
      <selection activeCell="CC13" sqref="CC13"/>
    </sheetView>
  </sheetViews>
  <sheetFormatPr defaultColWidth="1.625" defaultRowHeight="20.100000000000001" customHeight="1" x14ac:dyDescent="0.15"/>
  <cols>
    <col min="1" max="1" width="2.5" style="48" customWidth="1"/>
    <col min="2" max="2" width="1.625" style="48"/>
    <col min="3" max="91" width="2.25" style="48" customWidth="1"/>
    <col min="92" max="104" width="1.625" style="48"/>
    <col min="105" max="16384" width="1.625" style="51"/>
  </cols>
  <sheetData>
    <row r="1" spans="1:104" ht="12.75" customHeight="1" x14ac:dyDescent="0.2">
      <c r="A1" s="454"/>
      <c r="B1" s="454"/>
      <c r="C1" s="454"/>
      <c r="D1" s="454"/>
      <c r="E1" s="454"/>
      <c r="F1" s="454"/>
      <c r="G1" s="454"/>
      <c r="H1" s="454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455" t="s">
        <v>19</v>
      </c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  <c r="AR1" s="455"/>
      <c r="AS1" s="455"/>
      <c r="AT1" s="455"/>
      <c r="AU1" s="455"/>
      <c r="AV1" s="455"/>
      <c r="AW1" s="455"/>
      <c r="AX1" s="455"/>
      <c r="AY1" s="455"/>
      <c r="AZ1" s="455"/>
      <c r="BA1" s="455"/>
      <c r="BB1" s="455"/>
      <c r="BC1" s="455"/>
      <c r="BD1" s="117"/>
      <c r="BE1" s="118"/>
      <c r="BF1" s="117"/>
      <c r="BG1" s="117"/>
      <c r="BH1" s="116"/>
      <c r="BI1" s="116"/>
      <c r="BJ1" s="116"/>
      <c r="BK1" s="116"/>
      <c r="BL1" s="116"/>
      <c r="BM1" s="116"/>
      <c r="BN1" s="118"/>
      <c r="BO1" s="118"/>
      <c r="BP1" s="118"/>
      <c r="BQ1" s="118"/>
      <c r="BR1" s="456">
        <f>【入力ｼｰﾄ】支援課提出用!BR1:BX1</f>
        <v>0</v>
      </c>
      <c r="BS1" s="457"/>
      <c r="BT1" s="457"/>
      <c r="BU1" s="457"/>
      <c r="BV1" s="457"/>
      <c r="BW1" s="457"/>
      <c r="BX1" s="457"/>
      <c r="BY1" s="183" t="s">
        <v>23</v>
      </c>
      <c r="BZ1" s="458">
        <f>【入力ｼｰﾄ】支援課提出用!BZ1:CB1</f>
        <v>0</v>
      </c>
      <c r="CA1" s="459"/>
      <c r="CB1" s="459"/>
      <c r="CC1" s="190" t="s">
        <v>24</v>
      </c>
      <c r="CD1" s="49"/>
      <c r="CE1" s="49"/>
    </row>
    <row r="2" spans="1:104" ht="12.75" customHeight="1" x14ac:dyDescent="0.15">
      <c r="A2" s="119"/>
      <c r="B2" s="119"/>
      <c r="C2" s="168" t="s">
        <v>683</v>
      </c>
      <c r="D2" s="119"/>
      <c r="E2" s="119"/>
      <c r="F2" s="119"/>
      <c r="G2" s="119"/>
      <c r="H2" s="119"/>
      <c r="I2" s="116"/>
      <c r="J2" s="116"/>
      <c r="K2" s="116"/>
      <c r="L2" s="116"/>
      <c r="M2" s="116"/>
      <c r="N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5"/>
      <c r="AQ2" s="455"/>
      <c r="AR2" s="455"/>
      <c r="AS2" s="455"/>
      <c r="AT2" s="455"/>
      <c r="AU2" s="455"/>
      <c r="AV2" s="455"/>
      <c r="AW2" s="455"/>
      <c r="AX2" s="455"/>
      <c r="AY2" s="455"/>
      <c r="AZ2" s="455"/>
      <c r="BA2" s="455"/>
      <c r="BB2" s="455"/>
      <c r="BC2" s="455"/>
      <c r="BD2" s="118"/>
      <c r="BE2" s="118"/>
      <c r="BF2" s="118"/>
      <c r="BG2" s="118"/>
      <c r="BH2" s="116"/>
      <c r="BI2" s="116"/>
      <c r="BJ2" s="116"/>
      <c r="BK2" s="116"/>
      <c r="BL2" s="116"/>
      <c r="BM2" s="116"/>
      <c r="BN2" s="118"/>
      <c r="BO2" s="118"/>
      <c r="BP2" s="118"/>
      <c r="BQ2" s="118"/>
      <c r="BR2" s="185"/>
      <c r="BS2" s="186"/>
      <c r="BT2" s="186"/>
      <c r="BU2" s="458">
        <f>【入力ｼｰﾄ】支援課提出用!BU2:BV2</f>
        <v>0</v>
      </c>
      <c r="BV2" s="459"/>
      <c r="BW2" s="186" t="s">
        <v>21</v>
      </c>
      <c r="BX2" s="458">
        <f>【入力ｼｰﾄ】支援課提出用!BX2:BY2</f>
        <v>0</v>
      </c>
      <c r="BY2" s="459"/>
      <c r="BZ2" s="186" t="s">
        <v>25</v>
      </c>
      <c r="CA2" s="458">
        <f>【入力ｼｰﾄ】支援課提出用!CA2:CB2</f>
        <v>0</v>
      </c>
      <c r="CB2" s="459"/>
      <c r="CC2" s="191" t="s">
        <v>26</v>
      </c>
      <c r="CD2" s="53"/>
      <c r="CE2" s="53"/>
    </row>
    <row r="3" spans="1:104" ht="12.75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Q3" s="118"/>
      <c r="R3" s="118"/>
      <c r="S3" s="118"/>
      <c r="T3" s="118"/>
      <c r="U3" s="118"/>
      <c r="V3" s="118"/>
      <c r="W3" s="118"/>
      <c r="X3" s="118"/>
      <c r="Y3" s="118"/>
      <c r="Z3" s="120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21"/>
      <c r="BQ3" s="121"/>
      <c r="BR3" s="121"/>
      <c r="BS3" s="121"/>
      <c r="BT3" s="121"/>
      <c r="BU3" s="121"/>
      <c r="BV3" s="121"/>
      <c r="BW3" s="121"/>
      <c r="BX3" s="121"/>
      <c r="BY3" s="118"/>
      <c r="BZ3" s="118"/>
      <c r="CA3" s="118"/>
      <c r="CB3" s="118"/>
      <c r="CG3" s="315"/>
      <c r="CH3" s="315"/>
      <c r="CI3" s="315"/>
      <c r="CJ3" s="315"/>
      <c r="CK3" s="315"/>
      <c r="CL3" s="315"/>
    </row>
    <row r="4" spans="1:104" ht="12.75" customHeight="1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G4" s="56"/>
      <c r="CH4" s="57"/>
      <c r="CI4" s="58"/>
      <c r="CJ4" s="56"/>
      <c r="CK4" s="57"/>
      <c r="CL4" s="58"/>
    </row>
    <row r="5" spans="1:104" ht="15.7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22"/>
      <c r="AW5" s="122"/>
      <c r="AX5" s="122" t="s">
        <v>12</v>
      </c>
      <c r="AY5" s="122"/>
      <c r="AZ5" s="123"/>
      <c r="BA5" s="123"/>
      <c r="BB5" s="118"/>
      <c r="BC5" s="438" t="s">
        <v>22</v>
      </c>
      <c r="BD5" s="438"/>
      <c r="BE5" s="353">
        <f>【入力ｼｰﾄ】支援課提出用!BE5:BZ5</f>
        <v>0</v>
      </c>
      <c r="BF5" s="353"/>
      <c r="BG5" s="353"/>
      <c r="BH5" s="353"/>
      <c r="BI5" s="353"/>
      <c r="BJ5" s="353"/>
      <c r="BK5" s="353"/>
      <c r="BL5" s="353"/>
      <c r="BM5" s="353"/>
      <c r="BN5" s="353"/>
      <c r="BO5" s="353"/>
      <c r="BP5" s="353"/>
      <c r="BQ5" s="353"/>
      <c r="BR5" s="353"/>
      <c r="BS5" s="353"/>
      <c r="BT5" s="353"/>
      <c r="BU5" s="353"/>
      <c r="BV5" s="353"/>
      <c r="BW5" s="353"/>
      <c r="BX5" s="353"/>
      <c r="BY5" s="353"/>
      <c r="BZ5" s="353"/>
      <c r="CA5" s="124"/>
      <c r="CB5" s="118"/>
      <c r="CZ5" s="51"/>
    </row>
    <row r="6" spans="1:104" ht="15.75" customHeight="1" x14ac:dyDescent="0.15">
      <c r="A6" s="468"/>
      <c r="B6" s="118"/>
      <c r="C6" s="447" t="s">
        <v>12</v>
      </c>
      <c r="D6" s="460"/>
      <c r="E6" s="460"/>
      <c r="F6" s="461"/>
      <c r="G6" s="469" t="s">
        <v>43</v>
      </c>
      <c r="H6" s="470"/>
      <c r="I6" s="429" t="s">
        <v>44</v>
      </c>
      <c r="J6" s="430"/>
      <c r="K6" s="431"/>
      <c r="L6" s="447" t="s">
        <v>17</v>
      </c>
      <c r="M6" s="460"/>
      <c r="N6" s="460"/>
      <c r="O6" s="461"/>
      <c r="P6" s="447" t="s">
        <v>17</v>
      </c>
      <c r="Q6" s="448"/>
      <c r="R6" s="125"/>
      <c r="S6" s="125" t="s">
        <v>674</v>
      </c>
      <c r="T6" s="125"/>
      <c r="U6" s="125"/>
      <c r="V6" s="126"/>
      <c r="W6" s="126"/>
      <c r="X6" s="118"/>
      <c r="Y6" s="118"/>
      <c r="Z6" s="118"/>
      <c r="AA6" s="118"/>
      <c r="AB6" s="65"/>
      <c r="AC6" s="65"/>
      <c r="AD6" s="65"/>
      <c r="AE6" s="65"/>
      <c r="AF6" s="65"/>
      <c r="AG6" s="65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26"/>
      <c r="BD6" s="126"/>
      <c r="BE6" s="127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4"/>
      <c r="BZ6" s="124"/>
      <c r="CA6" s="124"/>
      <c r="CB6" s="118"/>
    </row>
    <row r="7" spans="1:104" ht="15.75" customHeight="1" x14ac:dyDescent="0.15">
      <c r="A7" s="468"/>
      <c r="B7" s="118"/>
      <c r="C7" s="462" t="s">
        <v>37</v>
      </c>
      <c r="D7" s="463"/>
      <c r="E7" s="463"/>
      <c r="F7" s="463"/>
      <c r="G7" s="471"/>
      <c r="H7" s="472"/>
      <c r="I7" s="451" t="s">
        <v>16</v>
      </c>
      <c r="J7" s="452"/>
      <c r="K7" s="453"/>
      <c r="L7" s="462" t="s">
        <v>18</v>
      </c>
      <c r="M7" s="463"/>
      <c r="N7" s="463"/>
      <c r="O7" s="464"/>
      <c r="P7" s="462" t="s">
        <v>0</v>
      </c>
      <c r="Q7" s="464"/>
      <c r="R7" s="125"/>
      <c r="S7" s="109" t="s">
        <v>699</v>
      </c>
      <c r="T7" s="125"/>
      <c r="U7" s="125"/>
      <c r="V7" s="126"/>
      <c r="W7" s="126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438" t="s">
        <v>20</v>
      </c>
      <c r="BD7" s="438"/>
      <c r="BE7" s="353">
        <f>【入力ｼｰﾄ】支援課提出用!BE7:CA7</f>
        <v>0</v>
      </c>
      <c r="BF7" s="353"/>
      <c r="BG7" s="353"/>
      <c r="BH7" s="353"/>
      <c r="BI7" s="353"/>
      <c r="BJ7" s="353"/>
      <c r="BK7" s="353"/>
      <c r="BL7" s="353"/>
      <c r="BM7" s="353"/>
      <c r="BN7" s="353"/>
      <c r="BO7" s="353"/>
      <c r="BP7" s="353"/>
      <c r="BQ7" s="353"/>
      <c r="BR7" s="353"/>
      <c r="BS7" s="353"/>
      <c r="BT7" s="353"/>
      <c r="BU7" s="353"/>
      <c r="BV7" s="353"/>
      <c r="BW7" s="353"/>
      <c r="BX7" s="353"/>
      <c r="BY7" s="353"/>
      <c r="BZ7" s="353"/>
      <c r="CA7" s="353"/>
      <c r="CB7" s="118"/>
    </row>
    <row r="8" spans="1:104" ht="15.75" customHeight="1" x14ac:dyDescent="0.15">
      <c r="A8" s="468"/>
      <c r="B8" s="118"/>
      <c r="C8" s="432">
        <f>【入力ｼｰﾄ】支援課提出用!C8</f>
        <v>0</v>
      </c>
      <c r="D8" s="433"/>
      <c r="E8" s="433"/>
      <c r="F8" s="434"/>
      <c r="G8" s="303">
        <f>【入力ｼｰﾄ】支援課提出用!G8</f>
        <v>0</v>
      </c>
      <c r="H8" s="304"/>
      <c r="I8" s="441">
        <f>【入力ｼｰﾄ】支援課提出用!I8</f>
        <v>0</v>
      </c>
      <c r="J8" s="442"/>
      <c r="K8" s="443"/>
      <c r="L8" s="425">
        <f>【入力ｼｰﾄ】支援課提出用!L8</f>
        <v>0</v>
      </c>
      <c r="M8" s="465"/>
      <c r="N8" s="465"/>
      <c r="O8" s="466"/>
      <c r="P8" s="425">
        <f>【入力ｼｰﾄ】支援課提出用!P8</f>
        <v>0</v>
      </c>
      <c r="Q8" s="426"/>
      <c r="R8" s="449" t="s">
        <v>783</v>
      </c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450"/>
      <c r="AW8" s="450"/>
      <c r="AX8" s="450"/>
      <c r="AY8" s="450"/>
      <c r="AZ8" s="450"/>
      <c r="BA8" s="125"/>
      <c r="BB8" s="118"/>
      <c r="BC8" s="129"/>
      <c r="BD8" s="129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4"/>
      <c r="BZ8" s="124"/>
      <c r="CA8" s="124"/>
      <c r="CB8" s="118"/>
    </row>
    <row r="9" spans="1:104" ht="15.75" customHeight="1" x14ac:dyDescent="0.15">
      <c r="A9" s="468"/>
      <c r="B9" s="118"/>
      <c r="C9" s="435"/>
      <c r="D9" s="436"/>
      <c r="E9" s="436"/>
      <c r="F9" s="437"/>
      <c r="G9" s="305"/>
      <c r="H9" s="306"/>
      <c r="I9" s="444"/>
      <c r="J9" s="445"/>
      <c r="K9" s="446"/>
      <c r="L9" s="427"/>
      <c r="M9" s="467"/>
      <c r="N9" s="467"/>
      <c r="O9" s="428"/>
      <c r="P9" s="427"/>
      <c r="Q9" s="428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125"/>
      <c r="BB9" s="118"/>
      <c r="BC9" s="352" t="s">
        <v>32</v>
      </c>
      <c r="BD9" s="352"/>
      <c r="BE9" s="353">
        <f>【入力ｼｰﾄ】支援課提出用!BE9:BV9</f>
        <v>0</v>
      </c>
      <c r="BF9" s="353"/>
      <c r="BG9" s="353"/>
      <c r="BH9" s="353"/>
      <c r="BI9" s="353"/>
      <c r="BJ9" s="353"/>
      <c r="BK9" s="353"/>
      <c r="BL9" s="353"/>
      <c r="BM9" s="353"/>
      <c r="BN9" s="353"/>
      <c r="BO9" s="353"/>
      <c r="BP9" s="353"/>
      <c r="BQ9" s="353"/>
      <c r="BR9" s="353"/>
      <c r="BS9" s="353"/>
      <c r="BT9" s="353"/>
      <c r="BU9" s="353"/>
      <c r="BV9" s="353"/>
      <c r="BW9" s="128"/>
      <c r="BX9" s="439"/>
      <c r="BY9" s="440"/>
      <c r="BZ9" s="124"/>
      <c r="CA9" s="124"/>
      <c r="CB9" s="118"/>
    </row>
    <row r="10" spans="1:104" ht="15.75" customHeight="1" x14ac:dyDescent="0.2">
      <c r="A10" s="468"/>
      <c r="B10" s="118"/>
      <c r="C10" s="130"/>
      <c r="D10" s="130"/>
      <c r="E10" s="130"/>
      <c r="F10" s="130"/>
      <c r="G10" s="130"/>
      <c r="H10" s="130"/>
      <c r="I10" s="131"/>
      <c r="J10" s="131"/>
      <c r="K10" s="131"/>
      <c r="L10" s="132"/>
      <c r="M10" s="132"/>
      <c r="N10" s="132"/>
      <c r="O10" s="133"/>
      <c r="P10" s="133"/>
      <c r="Q10" s="118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18"/>
      <c r="BC10" s="134"/>
      <c r="BD10" s="134"/>
      <c r="BE10" s="134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6"/>
      <c r="BX10" s="136"/>
      <c r="BY10" s="137"/>
      <c r="BZ10" s="118"/>
      <c r="CA10" s="118"/>
      <c r="CB10" s="118"/>
    </row>
    <row r="11" spans="1:104" ht="6.75" customHeight="1" x14ac:dyDescent="0.2">
      <c r="A11" s="468"/>
      <c r="B11" s="118"/>
      <c r="C11" s="130"/>
      <c r="D11" s="130"/>
      <c r="E11" s="130"/>
      <c r="F11" s="130"/>
      <c r="G11" s="130"/>
      <c r="H11" s="130"/>
      <c r="I11" s="138"/>
      <c r="J11" s="138"/>
      <c r="K11" s="139"/>
      <c r="L11" s="139"/>
      <c r="M11" s="133"/>
      <c r="N11" s="133"/>
      <c r="O11" s="118"/>
      <c r="P11" s="118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18"/>
      <c r="BC11" s="134"/>
      <c r="BD11" s="134"/>
      <c r="BE11" s="134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6"/>
      <c r="BX11" s="136"/>
      <c r="BY11" s="137"/>
      <c r="BZ11" s="118"/>
      <c r="CA11" s="118"/>
      <c r="CB11" s="118"/>
      <c r="CC11" s="55"/>
      <c r="CD11" s="55"/>
      <c r="CE11" s="55"/>
      <c r="CG11" s="55"/>
      <c r="CH11" s="55"/>
      <c r="CI11" s="55"/>
      <c r="CK11" s="55"/>
      <c r="CL11" s="55"/>
      <c r="CM11" s="55"/>
    </row>
    <row r="12" spans="1:104" ht="12.75" customHeight="1" x14ac:dyDescent="0.15">
      <c r="A12" s="468"/>
      <c r="B12" s="118"/>
      <c r="C12" s="373" t="s">
        <v>41</v>
      </c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 t="s">
        <v>5</v>
      </c>
      <c r="AR12" s="373"/>
      <c r="AS12" s="373"/>
      <c r="AT12" s="373"/>
      <c r="AU12" s="373"/>
      <c r="AV12" s="373"/>
      <c r="AW12" s="373"/>
      <c r="AX12" s="403"/>
      <c r="AY12" s="404" t="s">
        <v>28</v>
      </c>
      <c r="AZ12" s="405"/>
      <c r="BA12" s="405"/>
      <c r="BB12" s="405"/>
      <c r="BC12" s="405"/>
      <c r="BD12" s="406"/>
      <c r="BE12" s="404" t="s">
        <v>6</v>
      </c>
      <c r="BF12" s="405"/>
      <c r="BG12" s="405"/>
      <c r="BH12" s="405"/>
      <c r="BI12" s="405"/>
      <c r="BJ12" s="406"/>
      <c r="BK12" s="403" t="s">
        <v>31</v>
      </c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1"/>
      <c r="BW12" s="393" t="s">
        <v>1</v>
      </c>
      <c r="BX12" s="393"/>
      <c r="BY12" s="393" t="s">
        <v>2</v>
      </c>
      <c r="BZ12" s="393"/>
      <c r="CA12" s="395" t="s">
        <v>701</v>
      </c>
      <c r="CB12" s="395"/>
    </row>
    <row r="13" spans="1:104" ht="12.75" customHeight="1" x14ac:dyDescent="0.15">
      <c r="A13" s="118"/>
      <c r="B13" s="118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403"/>
      <c r="AY13" s="407"/>
      <c r="AZ13" s="408"/>
      <c r="BA13" s="408"/>
      <c r="BB13" s="408"/>
      <c r="BC13" s="408"/>
      <c r="BD13" s="409"/>
      <c r="BE13" s="407"/>
      <c r="BF13" s="408"/>
      <c r="BG13" s="408"/>
      <c r="BH13" s="408"/>
      <c r="BI13" s="408"/>
      <c r="BJ13" s="408"/>
      <c r="BK13" s="265" t="s">
        <v>697</v>
      </c>
      <c r="BL13" s="266"/>
      <c r="BM13" s="266"/>
      <c r="BN13" s="266"/>
      <c r="BO13" s="266"/>
      <c r="BP13" s="267"/>
      <c r="BQ13" s="265" t="s">
        <v>698</v>
      </c>
      <c r="BR13" s="266"/>
      <c r="BS13" s="266"/>
      <c r="BT13" s="266"/>
      <c r="BU13" s="266"/>
      <c r="BV13" s="267"/>
      <c r="BW13" s="401"/>
      <c r="BX13" s="393"/>
      <c r="BY13" s="393"/>
      <c r="BZ13" s="393"/>
      <c r="CA13" s="395"/>
      <c r="CB13" s="395"/>
      <c r="CC13" s="80"/>
      <c r="CD13" s="80"/>
      <c r="CE13" s="80"/>
      <c r="CF13" s="80"/>
      <c r="CG13" s="80"/>
      <c r="CH13" s="80"/>
      <c r="CI13" s="327"/>
      <c r="CJ13" s="328"/>
      <c r="CK13" s="328"/>
      <c r="CL13" s="80"/>
      <c r="CM13" s="80"/>
      <c r="CN13" s="80"/>
      <c r="CO13" s="80"/>
      <c r="CP13" s="80"/>
      <c r="CQ13" s="51"/>
      <c r="CR13" s="51"/>
      <c r="CS13" s="51"/>
      <c r="CT13" s="51"/>
      <c r="CU13" s="51"/>
      <c r="CV13" s="51"/>
      <c r="CW13" s="51"/>
      <c r="CX13" s="51"/>
      <c r="CY13" s="51"/>
      <c r="CZ13" s="51"/>
    </row>
    <row r="14" spans="1:104" ht="18" customHeight="1" x14ac:dyDescent="0.15">
      <c r="A14" s="118"/>
      <c r="B14" s="118"/>
      <c r="C14" s="202" t="s">
        <v>38</v>
      </c>
      <c r="D14" s="202"/>
      <c r="E14" s="423">
        <f>【入力ｼｰﾄ】支援課提出用!E14</f>
        <v>0</v>
      </c>
      <c r="F14" s="424"/>
      <c r="G14" s="399">
        <f>【入力ｼｰﾄ】支援課提出用!G14</f>
        <v>0</v>
      </c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400"/>
      <c r="AQ14" s="373" t="s">
        <v>42</v>
      </c>
      <c r="AR14" s="373"/>
      <c r="AS14" s="373"/>
      <c r="AT14" s="373"/>
      <c r="AU14" s="373" t="s">
        <v>7</v>
      </c>
      <c r="AV14" s="373"/>
      <c r="AW14" s="373" t="s">
        <v>4</v>
      </c>
      <c r="AX14" s="373"/>
      <c r="AY14" s="379" t="s">
        <v>8</v>
      </c>
      <c r="AZ14" s="377"/>
      <c r="BA14" s="377"/>
      <c r="BB14" s="377"/>
      <c r="BC14" s="377"/>
      <c r="BD14" s="378"/>
      <c r="BE14" s="379" t="s">
        <v>8</v>
      </c>
      <c r="BF14" s="377"/>
      <c r="BG14" s="377"/>
      <c r="BH14" s="377"/>
      <c r="BI14" s="377"/>
      <c r="BJ14" s="377"/>
      <c r="BK14" s="218"/>
      <c r="BL14" s="219"/>
      <c r="BM14" s="219"/>
      <c r="BN14" s="219"/>
      <c r="BO14" s="219"/>
      <c r="BP14" s="247"/>
      <c r="BQ14" s="218"/>
      <c r="BR14" s="219"/>
      <c r="BS14" s="219"/>
      <c r="BT14" s="219"/>
      <c r="BU14" s="219"/>
      <c r="BV14" s="247"/>
      <c r="BW14" s="402"/>
      <c r="BX14" s="394"/>
      <c r="BY14" s="394"/>
      <c r="BZ14" s="394"/>
      <c r="CA14" s="396"/>
      <c r="CB14" s="396"/>
      <c r="CC14" s="80"/>
      <c r="CD14" s="80"/>
      <c r="CE14" s="80"/>
      <c r="CF14" s="80"/>
      <c r="CG14" s="80"/>
      <c r="CH14" s="80"/>
      <c r="CI14" s="328"/>
      <c r="CJ14" s="328"/>
      <c r="CK14" s="328"/>
      <c r="CL14" s="80"/>
      <c r="CM14" s="80"/>
      <c r="CN14" s="80"/>
      <c r="CO14" s="80"/>
      <c r="CP14" s="80"/>
      <c r="CQ14" s="51"/>
      <c r="CR14" s="51"/>
      <c r="CS14" s="51"/>
      <c r="CT14" s="51"/>
      <c r="CU14" s="51"/>
      <c r="CV14" s="51"/>
      <c r="CW14" s="51"/>
      <c r="CX14" s="51"/>
      <c r="CY14" s="51"/>
      <c r="CZ14" s="51"/>
    </row>
    <row r="15" spans="1:104" s="87" customFormat="1" ht="27" customHeight="1" x14ac:dyDescent="0.2">
      <c r="A15" s="140"/>
      <c r="B15" s="140"/>
      <c r="C15" s="202" t="s">
        <v>39</v>
      </c>
      <c r="D15" s="202"/>
      <c r="E15" s="419">
        <f>【入力ｼｰﾄ】支援課提出用!E15</f>
        <v>0</v>
      </c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2"/>
      <c r="AQ15" s="179">
        <f>【入力ｼｰﾄ】支援課提出用!AQ15</f>
        <v>0</v>
      </c>
      <c r="AR15" s="175">
        <f>【入力ｼｰﾄ】支援課提出用!AR15</f>
        <v>0</v>
      </c>
      <c r="AS15" s="175">
        <f>【入力ｼｰﾄ】支援課提出用!AS15</f>
        <v>0</v>
      </c>
      <c r="AT15" s="176">
        <f>【入力ｼｰﾄ】支援課提出用!AT15</f>
        <v>0</v>
      </c>
      <c r="AU15" s="179">
        <f>【入力ｼｰﾄ】支援課提出用!AU15</f>
        <v>0</v>
      </c>
      <c r="AV15" s="176">
        <f>【入力ｼｰﾄ】支援課提出用!AV15</f>
        <v>0</v>
      </c>
      <c r="AW15" s="179">
        <f>【入力ｼｰﾄ】支援課提出用!AW15</f>
        <v>0</v>
      </c>
      <c r="AX15" s="176">
        <f>【入力ｼｰﾄ】支援課提出用!AX15</f>
        <v>0</v>
      </c>
      <c r="AY15" s="227">
        <f>【入力ｼｰﾄ】支援課提出用!AY15</f>
        <v>0</v>
      </c>
      <c r="AZ15" s="227"/>
      <c r="BA15" s="227"/>
      <c r="BB15" s="227"/>
      <c r="BC15" s="227"/>
      <c r="BD15" s="227"/>
      <c r="BE15" s="227">
        <f>【入力ｼｰﾄ】支援課提出用!BE15</f>
        <v>0</v>
      </c>
      <c r="BF15" s="227"/>
      <c r="BG15" s="227"/>
      <c r="BH15" s="227"/>
      <c r="BI15" s="227"/>
      <c r="BJ15" s="227"/>
      <c r="BK15" s="227" t="str">
        <f>【入力ｼｰﾄ】支援課提出用!BK15</f>
        <v/>
      </c>
      <c r="BL15" s="227"/>
      <c r="BM15" s="227"/>
      <c r="BN15" s="227"/>
      <c r="BO15" s="227"/>
      <c r="BP15" s="227"/>
      <c r="BQ15" s="227" t="str">
        <f>【入力ｼｰﾄ】支援課提出用!BQ15</f>
        <v/>
      </c>
      <c r="BR15" s="227"/>
      <c r="BS15" s="227"/>
      <c r="BT15" s="227"/>
      <c r="BU15" s="227"/>
      <c r="BV15" s="227"/>
      <c r="BW15" s="417">
        <f>【入力ｼｰﾄ】支援課提出用!BW15</f>
        <v>0</v>
      </c>
      <c r="BX15" s="417"/>
      <c r="BY15" s="418">
        <f>【入力ｼｰﾄ】支援課提出用!BY15</f>
        <v>0</v>
      </c>
      <c r="BZ15" s="418"/>
      <c r="CA15" s="415">
        <f>【入力ｼｰﾄ】支援課提出用!CA15</f>
        <v>0</v>
      </c>
      <c r="CB15" s="415"/>
      <c r="CC15" s="85"/>
      <c r="CD15" s="85"/>
      <c r="CE15" s="85"/>
      <c r="CF15" s="84"/>
      <c r="CG15" s="84"/>
      <c r="CH15" s="84"/>
      <c r="CI15" s="84"/>
      <c r="CJ15" s="84"/>
      <c r="CK15" s="84"/>
      <c r="CL15" s="85"/>
      <c r="CM15" s="85"/>
      <c r="CN15" s="85"/>
      <c r="CO15" s="85"/>
      <c r="CP15" s="85"/>
      <c r="CQ15" s="85"/>
      <c r="CR15" s="85"/>
      <c r="CS15" s="85"/>
    </row>
    <row r="16" spans="1:104" ht="12.2" customHeight="1" x14ac:dyDescent="0.15">
      <c r="A16" s="118"/>
      <c r="B16" s="118"/>
      <c r="C16" s="367" t="s">
        <v>675</v>
      </c>
      <c r="D16" s="368"/>
      <c r="E16" s="369"/>
      <c r="F16" s="370"/>
      <c r="G16" s="372" t="s">
        <v>29</v>
      </c>
      <c r="H16" s="372"/>
      <c r="I16" s="372"/>
      <c r="J16" s="372"/>
      <c r="K16" s="372"/>
      <c r="L16" s="372"/>
      <c r="M16" s="372"/>
      <c r="N16" s="372"/>
      <c r="O16" s="372"/>
      <c r="P16" s="372"/>
      <c r="Q16" s="374" t="s">
        <v>676</v>
      </c>
      <c r="R16" s="369"/>
      <c r="S16" s="369"/>
      <c r="T16" s="370"/>
      <c r="U16" s="360" t="s">
        <v>40</v>
      </c>
      <c r="V16" s="360"/>
      <c r="W16" s="360" t="s">
        <v>679</v>
      </c>
      <c r="X16" s="360"/>
      <c r="Y16" s="360" t="s">
        <v>27</v>
      </c>
      <c r="Z16" s="360"/>
      <c r="AA16" s="360"/>
      <c r="AB16" s="212" t="s">
        <v>696</v>
      </c>
      <c r="AC16" s="213"/>
      <c r="AD16" s="375" t="s">
        <v>34</v>
      </c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8"/>
      <c r="BJ16" s="383" t="s">
        <v>30</v>
      </c>
      <c r="BK16" s="384"/>
      <c r="BL16" s="384"/>
      <c r="BM16" s="384"/>
      <c r="BN16" s="384"/>
      <c r="BO16" s="384"/>
      <c r="BP16" s="384"/>
      <c r="BQ16" s="385"/>
      <c r="BR16" s="141"/>
      <c r="BS16" s="141"/>
      <c r="BT16" s="141"/>
      <c r="BU16" s="141"/>
      <c r="BV16" s="141"/>
      <c r="BW16" s="142"/>
      <c r="BX16" s="142"/>
      <c r="BY16" s="142"/>
      <c r="BZ16" s="142"/>
      <c r="CA16" s="141"/>
      <c r="CB16" s="14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</row>
    <row r="17" spans="1:104" ht="12.2" customHeight="1" x14ac:dyDescent="0.15">
      <c r="A17" s="118"/>
      <c r="B17" s="118"/>
      <c r="C17" s="371"/>
      <c r="D17" s="369"/>
      <c r="E17" s="369"/>
      <c r="F17" s="370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1"/>
      <c r="R17" s="369"/>
      <c r="S17" s="369"/>
      <c r="T17" s="370"/>
      <c r="U17" s="360"/>
      <c r="V17" s="360"/>
      <c r="W17" s="360"/>
      <c r="X17" s="360"/>
      <c r="Y17" s="360"/>
      <c r="Z17" s="360"/>
      <c r="AA17" s="360"/>
      <c r="AB17" s="214"/>
      <c r="AC17" s="215"/>
      <c r="AD17" s="379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8"/>
      <c r="BJ17" s="359" t="s">
        <v>703</v>
      </c>
      <c r="BK17" s="359"/>
      <c r="BL17" s="359"/>
      <c r="BM17" s="359"/>
      <c r="BN17" s="359" t="s">
        <v>704</v>
      </c>
      <c r="BO17" s="359"/>
      <c r="BP17" s="359"/>
      <c r="BQ17" s="359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</row>
    <row r="18" spans="1:104" ht="12.2" customHeight="1" x14ac:dyDescent="0.15">
      <c r="A18" s="118"/>
      <c r="B18" s="118"/>
      <c r="C18" s="364" t="s">
        <v>9</v>
      </c>
      <c r="D18" s="365"/>
      <c r="E18" s="365"/>
      <c r="F18" s="366"/>
      <c r="G18" s="363" t="s">
        <v>10</v>
      </c>
      <c r="H18" s="363"/>
      <c r="I18" s="363"/>
      <c r="J18" s="363"/>
      <c r="K18" s="363"/>
      <c r="L18" s="363" t="s">
        <v>11</v>
      </c>
      <c r="M18" s="363"/>
      <c r="N18" s="363"/>
      <c r="O18" s="363"/>
      <c r="P18" s="363"/>
      <c r="Q18" s="364" t="s">
        <v>9</v>
      </c>
      <c r="R18" s="365"/>
      <c r="S18" s="365"/>
      <c r="T18" s="366"/>
      <c r="U18" s="360"/>
      <c r="V18" s="360"/>
      <c r="W18" s="360"/>
      <c r="X18" s="360"/>
      <c r="Y18" s="360"/>
      <c r="Z18" s="360"/>
      <c r="AA18" s="360"/>
      <c r="AB18" s="216"/>
      <c r="AC18" s="217"/>
      <c r="AD18" s="380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2"/>
      <c r="BJ18" s="359" t="s">
        <v>3</v>
      </c>
      <c r="BK18" s="359"/>
      <c r="BL18" s="359" t="s">
        <v>4</v>
      </c>
      <c r="BM18" s="359"/>
      <c r="BN18" s="359" t="s">
        <v>3</v>
      </c>
      <c r="BO18" s="359"/>
      <c r="BP18" s="359" t="s">
        <v>4</v>
      </c>
      <c r="BQ18" s="359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</row>
    <row r="19" spans="1:104" s="87" customFormat="1" ht="27" customHeight="1" x14ac:dyDescent="0.15">
      <c r="A19" s="140"/>
      <c r="B19" s="140"/>
      <c r="C19" s="204">
        <f>【入力ｼｰﾄ】支援課提出用!C19</f>
        <v>0</v>
      </c>
      <c r="D19" s="204"/>
      <c r="E19" s="204"/>
      <c r="F19" s="204"/>
      <c r="G19" s="204">
        <f>【入力ｼｰﾄ】支援課提出用!G19</f>
        <v>0</v>
      </c>
      <c r="H19" s="204"/>
      <c r="I19" s="204"/>
      <c r="J19" s="204"/>
      <c r="K19" s="204"/>
      <c r="L19" s="204">
        <f>【入力ｼｰﾄ】支援課提出用!L19</f>
        <v>0</v>
      </c>
      <c r="M19" s="204"/>
      <c r="N19" s="204"/>
      <c r="O19" s="204"/>
      <c r="P19" s="204"/>
      <c r="Q19" s="204">
        <f>【入力ｼｰﾄ】支援課提出用!Q19</f>
        <v>0</v>
      </c>
      <c r="R19" s="204"/>
      <c r="S19" s="204"/>
      <c r="T19" s="204"/>
      <c r="U19" s="414">
        <f>【入力ｼｰﾄ】支援課提出用!U19</f>
        <v>0</v>
      </c>
      <c r="V19" s="414"/>
      <c r="W19" s="414">
        <f>【入力ｼｰﾄ】支援課提出用!W19</f>
        <v>0</v>
      </c>
      <c r="X19" s="414"/>
      <c r="Y19" s="414">
        <f>【入力ｼｰﾄ】支援課提出用!Y19</f>
        <v>0</v>
      </c>
      <c r="Z19" s="414"/>
      <c r="AA19" s="414"/>
      <c r="AB19" s="415">
        <f>【入力ｼｰﾄ】支援課提出用!AB19</f>
        <v>0</v>
      </c>
      <c r="AC19" s="415"/>
      <c r="AD19" s="416">
        <f>【入力ｼｰﾄ】支援課提出用!AD19</f>
        <v>0</v>
      </c>
      <c r="AE19" s="416"/>
      <c r="AF19" s="416"/>
      <c r="AG19" s="416"/>
      <c r="AH19" s="416"/>
      <c r="AI19" s="416"/>
      <c r="AJ19" s="416"/>
      <c r="AK19" s="416"/>
      <c r="AL19" s="416"/>
      <c r="AM19" s="416"/>
      <c r="AN19" s="416"/>
      <c r="AO19" s="416"/>
      <c r="AP19" s="416"/>
      <c r="AQ19" s="416"/>
      <c r="AR19" s="416"/>
      <c r="AS19" s="416"/>
      <c r="AT19" s="416"/>
      <c r="AU19" s="416"/>
      <c r="AV19" s="416"/>
      <c r="AW19" s="416"/>
      <c r="AX19" s="416"/>
      <c r="AY19" s="416"/>
      <c r="AZ19" s="416"/>
      <c r="BA19" s="416"/>
      <c r="BB19" s="416"/>
      <c r="BC19" s="416"/>
      <c r="BD19" s="416"/>
      <c r="BE19" s="416"/>
      <c r="BF19" s="416"/>
      <c r="BG19" s="416"/>
      <c r="BH19" s="416"/>
      <c r="BI19" s="416"/>
      <c r="BJ19" s="417">
        <f>【入力ｼｰﾄ】支援課提出用!BJ19</f>
        <v>0</v>
      </c>
      <c r="BK19" s="417"/>
      <c r="BL19" s="418">
        <v>20</v>
      </c>
      <c r="BM19" s="418"/>
      <c r="BN19" s="417">
        <f>【入力ｼｰﾄ】支援課提出用!BN19</f>
        <v>0</v>
      </c>
      <c r="BO19" s="417"/>
      <c r="BP19" s="418">
        <v>20</v>
      </c>
      <c r="BQ19" s="418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</row>
    <row r="20" spans="1:104" ht="15" customHeight="1" x14ac:dyDescent="0.15">
      <c r="A20" s="118"/>
      <c r="B20" s="118"/>
      <c r="C20" s="118"/>
      <c r="D20" s="118"/>
      <c r="E20" s="118"/>
      <c r="F20" s="118"/>
      <c r="G20" s="118"/>
      <c r="H20" s="120"/>
      <c r="I20" s="118"/>
      <c r="J20" s="118"/>
      <c r="K20" s="118"/>
      <c r="L20" s="118"/>
      <c r="M20" s="118"/>
      <c r="N20" s="188" t="s">
        <v>792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20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</row>
    <row r="21" spans="1:104" s="145" customFormat="1" ht="12.75" customHeight="1" x14ac:dyDescent="0.15">
      <c r="A21" s="144"/>
      <c r="B21" s="144"/>
      <c r="C21" s="373" t="s">
        <v>41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 t="s">
        <v>5</v>
      </c>
      <c r="AR21" s="373"/>
      <c r="AS21" s="373"/>
      <c r="AT21" s="373"/>
      <c r="AU21" s="373"/>
      <c r="AV21" s="373"/>
      <c r="AW21" s="373"/>
      <c r="AX21" s="403"/>
      <c r="AY21" s="404" t="s">
        <v>28</v>
      </c>
      <c r="AZ21" s="405"/>
      <c r="BA21" s="405"/>
      <c r="BB21" s="405"/>
      <c r="BC21" s="405"/>
      <c r="BD21" s="406"/>
      <c r="BE21" s="404" t="s">
        <v>6</v>
      </c>
      <c r="BF21" s="405"/>
      <c r="BG21" s="405"/>
      <c r="BH21" s="405"/>
      <c r="BI21" s="405"/>
      <c r="BJ21" s="406"/>
      <c r="BK21" s="403" t="s">
        <v>31</v>
      </c>
      <c r="BL21" s="410"/>
      <c r="BM21" s="410"/>
      <c r="BN21" s="410"/>
      <c r="BO21" s="410"/>
      <c r="BP21" s="410"/>
      <c r="BQ21" s="410"/>
      <c r="BR21" s="410"/>
      <c r="BS21" s="410"/>
      <c r="BT21" s="410"/>
      <c r="BU21" s="410"/>
      <c r="BV21" s="411"/>
      <c r="BW21" s="393" t="s">
        <v>1</v>
      </c>
      <c r="BX21" s="393"/>
      <c r="BY21" s="393" t="s">
        <v>2</v>
      </c>
      <c r="BZ21" s="393"/>
      <c r="CA21" s="395" t="s">
        <v>701</v>
      </c>
      <c r="CB21" s="395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</row>
    <row r="22" spans="1:104" s="145" customFormat="1" ht="12.75" customHeight="1" x14ac:dyDescent="0.15">
      <c r="A22" s="144"/>
      <c r="B22" s="144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403"/>
      <c r="AY22" s="407"/>
      <c r="AZ22" s="408"/>
      <c r="BA22" s="408"/>
      <c r="BB22" s="408"/>
      <c r="BC22" s="408"/>
      <c r="BD22" s="409"/>
      <c r="BE22" s="407"/>
      <c r="BF22" s="408"/>
      <c r="BG22" s="408"/>
      <c r="BH22" s="408"/>
      <c r="BI22" s="408"/>
      <c r="BJ22" s="408"/>
      <c r="BK22" s="265" t="s">
        <v>697</v>
      </c>
      <c r="BL22" s="266"/>
      <c r="BM22" s="266"/>
      <c r="BN22" s="266"/>
      <c r="BO22" s="266"/>
      <c r="BP22" s="267"/>
      <c r="BQ22" s="265" t="s">
        <v>698</v>
      </c>
      <c r="BR22" s="266"/>
      <c r="BS22" s="266"/>
      <c r="BT22" s="266"/>
      <c r="BU22" s="266"/>
      <c r="BV22" s="267"/>
      <c r="BW22" s="401"/>
      <c r="BX22" s="393"/>
      <c r="BY22" s="393"/>
      <c r="BZ22" s="393"/>
      <c r="CA22" s="395"/>
      <c r="CB22" s="395"/>
      <c r="CC22" s="146"/>
      <c r="CD22" s="146"/>
      <c r="CE22" s="146"/>
      <c r="CF22" s="146"/>
      <c r="CG22" s="146"/>
      <c r="CH22" s="146"/>
      <c r="CI22" s="391"/>
      <c r="CJ22" s="392"/>
      <c r="CK22" s="392"/>
      <c r="CL22" s="146"/>
      <c r="CM22" s="146"/>
      <c r="CN22" s="146"/>
      <c r="CO22" s="146"/>
      <c r="CP22" s="146"/>
    </row>
    <row r="23" spans="1:104" s="145" customFormat="1" ht="18" customHeight="1" x14ac:dyDescent="0.15">
      <c r="A23" s="144"/>
      <c r="B23" s="144"/>
      <c r="C23" s="202" t="s">
        <v>38</v>
      </c>
      <c r="D23" s="202"/>
      <c r="E23" s="412">
        <f>【入力ｼｰﾄ】支援課提出用!E23</f>
        <v>0</v>
      </c>
      <c r="F23" s="413"/>
      <c r="G23" s="399">
        <f>【入力ｼｰﾄ】支援課提出用!G23:AP23</f>
        <v>0</v>
      </c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373" t="s">
        <v>42</v>
      </c>
      <c r="AR23" s="373"/>
      <c r="AS23" s="373"/>
      <c r="AT23" s="373"/>
      <c r="AU23" s="373" t="s">
        <v>7</v>
      </c>
      <c r="AV23" s="373"/>
      <c r="AW23" s="373" t="s">
        <v>4</v>
      </c>
      <c r="AX23" s="373"/>
      <c r="AY23" s="379" t="s">
        <v>8</v>
      </c>
      <c r="AZ23" s="377"/>
      <c r="BA23" s="377"/>
      <c r="BB23" s="377"/>
      <c r="BC23" s="377"/>
      <c r="BD23" s="378"/>
      <c r="BE23" s="379" t="s">
        <v>8</v>
      </c>
      <c r="BF23" s="377"/>
      <c r="BG23" s="377"/>
      <c r="BH23" s="377"/>
      <c r="BI23" s="377"/>
      <c r="BJ23" s="377"/>
      <c r="BK23" s="218"/>
      <c r="BL23" s="219"/>
      <c r="BM23" s="219"/>
      <c r="BN23" s="219"/>
      <c r="BO23" s="219"/>
      <c r="BP23" s="247"/>
      <c r="BQ23" s="218"/>
      <c r="BR23" s="219"/>
      <c r="BS23" s="219"/>
      <c r="BT23" s="219"/>
      <c r="BU23" s="219"/>
      <c r="BV23" s="247"/>
      <c r="BW23" s="402"/>
      <c r="BX23" s="394"/>
      <c r="BY23" s="394"/>
      <c r="BZ23" s="394"/>
      <c r="CA23" s="396"/>
      <c r="CB23" s="396"/>
      <c r="CC23" s="146"/>
      <c r="CD23" s="146"/>
      <c r="CE23" s="146"/>
      <c r="CF23" s="146"/>
      <c r="CG23" s="146"/>
      <c r="CH23" s="146"/>
      <c r="CI23" s="392"/>
      <c r="CJ23" s="392"/>
      <c r="CK23" s="392"/>
      <c r="CL23" s="146"/>
      <c r="CM23" s="146"/>
      <c r="CN23" s="146"/>
      <c r="CO23" s="146"/>
      <c r="CP23" s="146"/>
    </row>
    <row r="24" spans="1:104" s="150" customFormat="1" ht="27" customHeight="1" x14ac:dyDescent="0.2">
      <c r="A24" s="147"/>
      <c r="B24" s="147"/>
      <c r="C24" s="202" t="s">
        <v>39</v>
      </c>
      <c r="D24" s="202"/>
      <c r="E24" s="386">
        <f>【入力ｼｰﾄ】支援課提出用!E24</f>
        <v>0</v>
      </c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9"/>
      <c r="AQ24" s="180">
        <f>【入力ｼｰﾄ】支援課提出用!AQ24</f>
        <v>0</v>
      </c>
      <c r="AR24" s="181">
        <f>【入力ｼｰﾄ】支援課提出用!AR24</f>
        <v>0</v>
      </c>
      <c r="AS24" s="181">
        <f>【入力ｼｰﾄ】支援課提出用!AS24</f>
        <v>0</v>
      </c>
      <c r="AT24" s="182">
        <f>【入力ｼｰﾄ】支援課提出用!AT24</f>
        <v>0</v>
      </c>
      <c r="AU24" s="180">
        <f>【入力ｼｰﾄ】支援課提出用!AU24</f>
        <v>0</v>
      </c>
      <c r="AV24" s="182">
        <f>【入力ｼｰﾄ】支援課提出用!AV24</f>
        <v>0</v>
      </c>
      <c r="AW24" s="180">
        <f>【入力ｼｰﾄ】支援課提出用!AW24</f>
        <v>0</v>
      </c>
      <c r="AX24" s="182">
        <f>【入力ｼｰﾄ】支援課提出用!AX24</f>
        <v>0</v>
      </c>
      <c r="AY24" s="390">
        <f>【入力ｼｰﾄ】支援課提出用!AY24</f>
        <v>0</v>
      </c>
      <c r="AZ24" s="390"/>
      <c r="BA24" s="390"/>
      <c r="BB24" s="390"/>
      <c r="BC24" s="390"/>
      <c r="BD24" s="390"/>
      <c r="BE24" s="390">
        <f>【入力ｼｰﾄ】支援課提出用!BE24</f>
        <v>0</v>
      </c>
      <c r="BF24" s="390"/>
      <c r="BG24" s="390"/>
      <c r="BH24" s="390"/>
      <c r="BI24" s="390"/>
      <c r="BJ24" s="390"/>
      <c r="BK24" s="390" t="str">
        <f>【入力ｼｰﾄ】支援課提出用!BK24</f>
        <v/>
      </c>
      <c r="BL24" s="390"/>
      <c r="BM24" s="390"/>
      <c r="BN24" s="390"/>
      <c r="BO24" s="390"/>
      <c r="BP24" s="390"/>
      <c r="BQ24" s="390" t="str">
        <f>【入力ｼｰﾄ】支援課提出用!BQ24</f>
        <v/>
      </c>
      <c r="BR24" s="390"/>
      <c r="BS24" s="390"/>
      <c r="BT24" s="390"/>
      <c r="BU24" s="390"/>
      <c r="BV24" s="390"/>
      <c r="BW24" s="357">
        <f>【入力ｼｰﾄ】支援課提出用!BW24</f>
        <v>0</v>
      </c>
      <c r="BX24" s="357"/>
      <c r="BY24" s="358">
        <f>【入力ｼｰﾄ】支援課提出用!BY24</f>
        <v>0</v>
      </c>
      <c r="BZ24" s="358"/>
      <c r="CA24" s="355">
        <f>【入力ｼｰﾄ】支援課提出用!CA24</f>
        <v>0</v>
      </c>
      <c r="CB24" s="355"/>
      <c r="CC24" s="148"/>
      <c r="CD24" s="148"/>
      <c r="CE24" s="148"/>
      <c r="CF24" s="149"/>
      <c r="CG24" s="149"/>
      <c r="CH24" s="149"/>
      <c r="CI24" s="149"/>
      <c r="CJ24" s="149"/>
      <c r="CK24" s="149"/>
      <c r="CL24" s="148"/>
      <c r="CM24" s="148"/>
      <c r="CN24" s="148"/>
      <c r="CO24" s="148"/>
      <c r="CP24" s="148"/>
      <c r="CQ24" s="148"/>
      <c r="CR24" s="148"/>
      <c r="CS24" s="148"/>
    </row>
    <row r="25" spans="1:104" s="145" customFormat="1" ht="12.2" customHeight="1" x14ac:dyDescent="0.15">
      <c r="A25" s="144"/>
      <c r="B25" s="144"/>
      <c r="C25" s="367" t="s">
        <v>675</v>
      </c>
      <c r="D25" s="368"/>
      <c r="E25" s="369"/>
      <c r="F25" s="370"/>
      <c r="G25" s="372" t="s">
        <v>29</v>
      </c>
      <c r="H25" s="372"/>
      <c r="I25" s="372"/>
      <c r="J25" s="372"/>
      <c r="K25" s="372"/>
      <c r="L25" s="372"/>
      <c r="M25" s="372"/>
      <c r="N25" s="372"/>
      <c r="O25" s="372"/>
      <c r="P25" s="372"/>
      <c r="Q25" s="374" t="s">
        <v>676</v>
      </c>
      <c r="R25" s="369"/>
      <c r="S25" s="369"/>
      <c r="T25" s="370"/>
      <c r="U25" s="360" t="s">
        <v>40</v>
      </c>
      <c r="V25" s="360"/>
      <c r="W25" s="360" t="s">
        <v>679</v>
      </c>
      <c r="X25" s="360"/>
      <c r="Y25" s="360" t="s">
        <v>27</v>
      </c>
      <c r="Z25" s="360"/>
      <c r="AA25" s="360"/>
      <c r="AB25" s="212" t="s">
        <v>696</v>
      </c>
      <c r="AC25" s="213"/>
      <c r="AD25" s="375" t="s">
        <v>34</v>
      </c>
      <c r="AE25" s="376"/>
      <c r="AF25" s="376"/>
      <c r="AG25" s="376"/>
      <c r="AH25" s="376"/>
      <c r="AI25" s="376"/>
      <c r="AJ25" s="376"/>
      <c r="AK25" s="376"/>
      <c r="AL25" s="376"/>
      <c r="AM25" s="376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7"/>
      <c r="AZ25" s="377"/>
      <c r="BA25" s="377"/>
      <c r="BB25" s="377"/>
      <c r="BC25" s="377"/>
      <c r="BD25" s="377"/>
      <c r="BE25" s="377"/>
      <c r="BF25" s="377"/>
      <c r="BG25" s="377"/>
      <c r="BH25" s="377"/>
      <c r="BI25" s="378"/>
      <c r="BJ25" s="383" t="s">
        <v>30</v>
      </c>
      <c r="BK25" s="384"/>
      <c r="BL25" s="384"/>
      <c r="BM25" s="384"/>
      <c r="BN25" s="384"/>
      <c r="BO25" s="384"/>
      <c r="BP25" s="384"/>
      <c r="BQ25" s="385"/>
      <c r="BR25" s="151"/>
      <c r="BS25" s="151"/>
      <c r="BT25" s="151"/>
      <c r="BU25" s="151"/>
      <c r="BV25" s="151"/>
      <c r="BW25" s="152"/>
      <c r="BX25" s="152"/>
      <c r="BY25" s="152"/>
      <c r="BZ25" s="152"/>
      <c r="CA25" s="151"/>
      <c r="CB25" s="151"/>
    </row>
    <row r="26" spans="1:104" s="145" customFormat="1" ht="12.2" customHeight="1" x14ac:dyDescent="0.15">
      <c r="A26" s="144"/>
      <c r="B26" s="144"/>
      <c r="C26" s="371"/>
      <c r="D26" s="369"/>
      <c r="E26" s="369"/>
      <c r="F26" s="370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1"/>
      <c r="R26" s="369"/>
      <c r="S26" s="369"/>
      <c r="T26" s="370"/>
      <c r="U26" s="360"/>
      <c r="V26" s="360"/>
      <c r="W26" s="360"/>
      <c r="X26" s="360"/>
      <c r="Y26" s="360"/>
      <c r="Z26" s="360"/>
      <c r="AA26" s="360"/>
      <c r="AB26" s="214"/>
      <c r="AC26" s="215"/>
      <c r="AD26" s="379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8"/>
      <c r="BJ26" s="359" t="s">
        <v>703</v>
      </c>
      <c r="BK26" s="359"/>
      <c r="BL26" s="359"/>
      <c r="BM26" s="359"/>
      <c r="BN26" s="359" t="s">
        <v>704</v>
      </c>
      <c r="BO26" s="359"/>
      <c r="BP26" s="359"/>
      <c r="BQ26" s="359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</row>
    <row r="27" spans="1:104" s="145" customFormat="1" ht="12.2" customHeight="1" x14ac:dyDescent="0.15">
      <c r="A27" s="144"/>
      <c r="B27" s="144"/>
      <c r="C27" s="364" t="s">
        <v>9</v>
      </c>
      <c r="D27" s="365"/>
      <c r="E27" s="365"/>
      <c r="F27" s="366"/>
      <c r="G27" s="363" t="s">
        <v>10</v>
      </c>
      <c r="H27" s="363"/>
      <c r="I27" s="363"/>
      <c r="J27" s="363"/>
      <c r="K27" s="363"/>
      <c r="L27" s="363" t="s">
        <v>11</v>
      </c>
      <c r="M27" s="363"/>
      <c r="N27" s="363"/>
      <c r="O27" s="363"/>
      <c r="P27" s="363"/>
      <c r="Q27" s="364" t="s">
        <v>9</v>
      </c>
      <c r="R27" s="365"/>
      <c r="S27" s="365"/>
      <c r="T27" s="366"/>
      <c r="U27" s="360"/>
      <c r="V27" s="360"/>
      <c r="W27" s="360"/>
      <c r="X27" s="360"/>
      <c r="Y27" s="360"/>
      <c r="Z27" s="360"/>
      <c r="AA27" s="360"/>
      <c r="AB27" s="216"/>
      <c r="AC27" s="217"/>
      <c r="AD27" s="380"/>
      <c r="AE27" s="381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  <c r="BI27" s="382"/>
      <c r="BJ27" s="359" t="s">
        <v>3</v>
      </c>
      <c r="BK27" s="359"/>
      <c r="BL27" s="359" t="s">
        <v>4</v>
      </c>
      <c r="BM27" s="359"/>
      <c r="BN27" s="359" t="s">
        <v>3</v>
      </c>
      <c r="BO27" s="359"/>
      <c r="BP27" s="359" t="s">
        <v>4</v>
      </c>
      <c r="BQ27" s="359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</row>
    <row r="28" spans="1:104" s="145" customFormat="1" ht="27" customHeight="1" x14ac:dyDescent="0.15">
      <c r="A28" s="144"/>
      <c r="B28" s="144"/>
      <c r="C28" s="361">
        <f>【入力ｼｰﾄ】支援課提出用!C28</f>
        <v>0</v>
      </c>
      <c r="D28" s="361"/>
      <c r="E28" s="361"/>
      <c r="F28" s="361"/>
      <c r="G28" s="361">
        <f>【入力ｼｰﾄ】支援課提出用!G28</f>
        <v>0</v>
      </c>
      <c r="H28" s="361"/>
      <c r="I28" s="361"/>
      <c r="J28" s="361"/>
      <c r="K28" s="361"/>
      <c r="L28" s="361">
        <f>【入力ｼｰﾄ】支援課提出用!L28</f>
        <v>0</v>
      </c>
      <c r="M28" s="361"/>
      <c r="N28" s="361"/>
      <c r="O28" s="361"/>
      <c r="P28" s="361"/>
      <c r="Q28" s="361">
        <f>【入力ｼｰﾄ】支援課提出用!Q28</f>
        <v>0</v>
      </c>
      <c r="R28" s="361"/>
      <c r="S28" s="361"/>
      <c r="T28" s="361"/>
      <c r="U28" s="362">
        <f>【入力ｼｰﾄ】支援課提出用!U28</f>
        <v>0</v>
      </c>
      <c r="V28" s="362"/>
      <c r="W28" s="362">
        <f>【入力ｼｰﾄ】支援課提出用!W28</f>
        <v>0</v>
      </c>
      <c r="X28" s="362"/>
      <c r="Y28" s="362">
        <f>【入力ｼｰﾄ】支援課提出用!Y28</f>
        <v>0</v>
      </c>
      <c r="Z28" s="362"/>
      <c r="AA28" s="362"/>
      <c r="AB28" s="355">
        <f>【入力ｼｰﾄ】支援課提出用!AB28</f>
        <v>0</v>
      </c>
      <c r="AC28" s="355"/>
      <c r="AD28" s="356">
        <f>【入力ｼｰﾄ】支援課提出用!AD28</f>
        <v>0</v>
      </c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  <c r="BI28" s="356"/>
      <c r="BJ28" s="357">
        <f>【入力ｼｰﾄ】支援課提出用!BJ28</f>
        <v>0</v>
      </c>
      <c r="BK28" s="357"/>
      <c r="BL28" s="358">
        <v>20</v>
      </c>
      <c r="BM28" s="358"/>
      <c r="BN28" s="357">
        <f>【入力ｼｰﾄ】支援課提出用!BN28</f>
        <v>0</v>
      </c>
      <c r="BO28" s="357"/>
      <c r="BP28" s="358">
        <v>20</v>
      </c>
      <c r="BQ28" s="358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</row>
    <row r="29" spans="1:104" ht="15" customHeight="1" x14ac:dyDescent="0.15">
      <c r="A29" s="118"/>
      <c r="B29" s="118"/>
      <c r="C29" s="118"/>
      <c r="D29" s="118"/>
      <c r="E29" s="118"/>
      <c r="F29" s="118"/>
      <c r="G29" s="118"/>
      <c r="H29" s="120"/>
      <c r="I29" s="118"/>
      <c r="J29" s="118"/>
      <c r="K29" s="118"/>
      <c r="L29" s="118"/>
      <c r="M29" s="118"/>
      <c r="N29" s="188" t="s">
        <v>792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20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</row>
    <row r="30" spans="1:104" s="145" customFormat="1" ht="12.75" customHeight="1" x14ac:dyDescent="0.15">
      <c r="A30" s="144"/>
      <c r="B30" s="144"/>
      <c r="C30" s="373" t="s">
        <v>41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 t="s">
        <v>5</v>
      </c>
      <c r="AR30" s="373"/>
      <c r="AS30" s="373"/>
      <c r="AT30" s="373"/>
      <c r="AU30" s="373"/>
      <c r="AV30" s="373"/>
      <c r="AW30" s="373"/>
      <c r="AX30" s="403"/>
      <c r="AY30" s="404" t="s">
        <v>28</v>
      </c>
      <c r="AZ30" s="405"/>
      <c r="BA30" s="405"/>
      <c r="BB30" s="405"/>
      <c r="BC30" s="405"/>
      <c r="BD30" s="406"/>
      <c r="BE30" s="404" t="s">
        <v>6</v>
      </c>
      <c r="BF30" s="405"/>
      <c r="BG30" s="405"/>
      <c r="BH30" s="405"/>
      <c r="BI30" s="405"/>
      <c r="BJ30" s="406"/>
      <c r="BK30" s="403" t="s">
        <v>31</v>
      </c>
      <c r="BL30" s="410"/>
      <c r="BM30" s="410"/>
      <c r="BN30" s="410"/>
      <c r="BO30" s="410"/>
      <c r="BP30" s="410"/>
      <c r="BQ30" s="410"/>
      <c r="BR30" s="410"/>
      <c r="BS30" s="410"/>
      <c r="BT30" s="410"/>
      <c r="BU30" s="410"/>
      <c r="BV30" s="411"/>
      <c r="BW30" s="393" t="s">
        <v>1</v>
      </c>
      <c r="BX30" s="393"/>
      <c r="BY30" s="393" t="s">
        <v>2</v>
      </c>
      <c r="BZ30" s="393"/>
      <c r="CA30" s="395" t="s">
        <v>701</v>
      </c>
      <c r="CB30" s="395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</row>
    <row r="31" spans="1:104" s="145" customFormat="1" ht="12.75" customHeight="1" x14ac:dyDescent="0.15">
      <c r="A31" s="144"/>
      <c r="B31" s="144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403"/>
      <c r="AY31" s="407"/>
      <c r="AZ31" s="408"/>
      <c r="BA31" s="408"/>
      <c r="BB31" s="408"/>
      <c r="BC31" s="408"/>
      <c r="BD31" s="409"/>
      <c r="BE31" s="407"/>
      <c r="BF31" s="408"/>
      <c r="BG31" s="408"/>
      <c r="BH31" s="408"/>
      <c r="BI31" s="408"/>
      <c r="BJ31" s="408"/>
      <c r="BK31" s="265" t="s">
        <v>697</v>
      </c>
      <c r="BL31" s="266"/>
      <c r="BM31" s="266"/>
      <c r="BN31" s="266"/>
      <c r="BO31" s="266"/>
      <c r="BP31" s="267"/>
      <c r="BQ31" s="265" t="s">
        <v>698</v>
      </c>
      <c r="BR31" s="266"/>
      <c r="BS31" s="266"/>
      <c r="BT31" s="266"/>
      <c r="BU31" s="266"/>
      <c r="BV31" s="267"/>
      <c r="BW31" s="401"/>
      <c r="BX31" s="393"/>
      <c r="BY31" s="393"/>
      <c r="BZ31" s="393"/>
      <c r="CA31" s="395"/>
      <c r="CB31" s="395"/>
      <c r="CC31" s="146"/>
      <c r="CD31" s="146"/>
      <c r="CE31" s="146"/>
      <c r="CF31" s="146"/>
      <c r="CG31" s="146"/>
      <c r="CH31" s="146"/>
      <c r="CI31" s="391"/>
      <c r="CJ31" s="392"/>
      <c r="CK31" s="392"/>
      <c r="CL31" s="146"/>
      <c r="CM31" s="146"/>
      <c r="CN31" s="146"/>
      <c r="CO31" s="146"/>
      <c r="CP31" s="146"/>
    </row>
    <row r="32" spans="1:104" s="145" customFormat="1" ht="18" customHeight="1" x14ac:dyDescent="0.15">
      <c r="A32" s="144"/>
      <c r="B32" s="144"/>
      <c r="C32" s="202" t="s">
        <v>38</v>
      </c>
      <c r="D32" s="202"/>
      <c r="E32" s="397">
        <f>【入力ｼｰﾄ】支援課提出用!E32</f>
        <v>0</v>
      </c>
      <c r="F32" s="398"/>
      <c r="G32" s="399">
        <f>【入力ｼｰﾄ】支援課提出用!G32</f>
        <v>0</v>
      </c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400"/>
      <c r="AQ32" s="373" t="s">
        <v>42</v>
      </c>
      <c r="AR32" s="373"/>
      <c r="AS32" s="373"/>
      <c r="AT32" s="373"/>
      <c r="AU32" s="373" t="s">
        <v>7</v>
      </c>
      <c r="AV32" s="373"/>
      <c r="AW32" s="373" t="s">
        <v>4</v>
      </c>
      <c r="AX32" s="373"/>
      <c r="AY32" s="379" t="s">
        <v>8</v>
      </c>
      <c r="AZ32" s="377"/>
      <c r="BA32" s="377"/>
      <c r="BB32" s="377"/>
      <c r="BC32" s="377"/>
      <c r="BD32" s="378"/>
      <c r="BE32" s="379" t="s">
        <v>8</v>
      </c>
      <c r="BF32" s="377"/>
      <c r="BG32" s="377"/>
      <c r="BH32" s="377"/>
      <c r="BI32" s="377"/>
      <c r="BJ32" s="377"/>
      <c r="BK32" s="218"/>
      <c r="BL32" s="219"/>
      <c r="BM32" s="219"/>
      <c r="BN32" s="219"/>
      <c r="BO32" s="219"/>
      <c r="BP32" s="247"/>
      <c r="BQ32" s="218"/>
      <c r="BR32" s="219"/>
      <c r="BS32" s="219"/>
      <c r="BT32" s="219"/>
      <c r="BU32" s="219"/>
      <c r="BV32" s="247"/>
      <c r="BW32" s="402"/>
      <c r="BX32" s="394"/>
      <c r="BY32" s="394"/>
      <c r="BZ32" s="394"/>
      <c r="CA32" s="396"/>
      <c r="CB32" s="396"/>
      <c r="CC32" s="146"/>
      <c r="CD32" s="146"/>
      <c r="CE32" s="146"/>
      <c r="CF32" s="146"/>
      <c r="CG32" s="146"/>
      <c r="CH32" s="146"/>
      <c r="CI32" s="392"/>
      <c r="CJ32" s="392"/>
      <c r="CK32" s="392"/>
      <c r="CL32" s="146"/>
      <c r="CM32" s="146"/>
      <c r="CN32" s="146"/>
      <c r="CO32" s="146"/>
      <c r="CP32" s="146"/>
    </row>
    <row r="33" spans="1:97" s="150" customFormat="1" ht="27" customHeight="1" x14ac:dyDescent="0.2">
      <c r="A33" s="147"/>
      <c r="B33" s="147"/>
      <c r="C33" s="202" t="s">
        <v>39</v>
      </c>
      <c r="D33" s="202"/>
      <c r="E33" s="386">
        <f>【入力ｼｰﾄ】支援課提出用!E33</f>
        <v>0</v>
      </c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389"/>
      <c r="AQ33" s="180">
        <f>【入力ｼｰﾄ】支援課提出用!AQ33</f>
        <v>0</v>
      </c>
      <c r="AR33" s="181">
        <f>【入力ｼｰﾄ】支援課提出用!AR33</f>
        <v>0</v>
      </c>
      <c r="AS33" s="181">
        <f>【入力ｼｰﾄ】支援課提出用!AS33</f>
        <v>0</v>
      </c>
      <c r="AT33" s="182">
        <f>【入力ｼｰﾄ】支援課提出用!AT33</f>
        <v>0</v>
      </c>
      <c r="AU33" s="180">
        <f>【入力ｼｰﾄ】支援課提出用!AU33</f>
        <v>0</v>
      </c>
      <c r="AV33" s="182">
        <f>【入力ｼｰﾄ】支援課提出用!AV33</f>
        <v>0</v>
      </c>
      <c r="AW33" s="180">
        <f>【入力ｼｰﾄ】支援課提出用!AW33</f>
        <v>0</v>
      </c>
      <c r="AX33" s="182">
        <f>【入力ｼｰﾄ】支援課提出用!AX33</f>
        <v>0</v>
      </c>
      <c r="AY33" s="390">
        <f>【入力ｼｰﾄ】支援課提出用!AY33:BD33</f>
        <v>0</v>
      </c>
      <c r="AZ33" s="390"/>
      <c r="BA33" s="390"/>
      <c r="BB33" s="390"/>
      <c r="BC33" s="390"/>
      <c r="BD33" s="390"/>
      <c r="BE33" s="390">
        <f>【入力ｼｰﾄ】支援課提出用!BE33:BJ33</f>
        <v>0</v>
      </c>
      <c r="BF33" s="390"/>
      <c r="BG33" s="390"/>
      <c r="BH33" s="390"/>
      <c r="BI33" s="390"/>
      <c r="BJ33" s="390"/>
      <c r="BK33" s="390" t="str">
        <f>【入力ｼｰﾄ】支援課提出用!BK33:BP33</f>
        <v/>
      </c>
      <c r="BL33" s="390"/>
      <c r="BM33" s="390"/>
      <c r="BN33" s="390"/>
      <c r="BO33" s="390"/>
      <c r="BP33" s="390"/>
      <c r="BQ33" s="390" t="str">
        <f>【入力ｼｰﾄ】支援課提出用!BQ33:BV33</f>
        <v/>
      </c>
      <c r="BR33" s="390"/>
      <c r="BS33" s="390"/>
      <c r="BT33" s="390"/>
      <c r="BU33" s="390"/>
      <c r="BV33" s="390"/>
      <c r="BW33" s="357">
        <f>【入力ｼｰﾄ】支援課提出用!BW33:BX33</f>
        <v>0</v>
      </c>
      <c r="BX33" s="357"/>
      <c r="BY33" s="358">
        <f>【入力ｼｰﾄ】支援課提出用!BY33:BZ33</f>
        <v>0</v>
      </c>
      <c r="BZ33" s="358"/>
      <c r="CA33" s="355">
        <f>【入力ｼｰﾄ】支援課提出用!CA33:CB33</f>
        <v>0</v>
      </c>
      <c r="CB33" s="355"/>
      <c r="CC33" s="148"/>
      <c r="CD33" s="148"/>
      <c r="CE33" s="148"/>
      <c r="CF33" s="149"/>
      <c r="CG33" s="149"/>
      <c r="CH33" s="149"/>
      <c r="CI33" s="149"/>
      <c r="CJ33" s="149"/>
      <c r="CK33" s="149"/>
      <c r="CL33" s="148"/>
      <c r="CM33" s="148"/>
      <c r="CN33" s="148"/>
      <c r="CO33" s="148"/>
      <c r="CP33" s="148"/>
      <c r="CQ33" s="148"/>
      <c r="CR33" s="148"/>
      <c r="CS33" s="148"/>
    </row>
    <row r="34" spans="1:97" s="145" customFormat="1" ht="12.2" customHeight="1" x14ac:dyDescent="0.15">
      <c r="A34" s="144"/>
      <c r="B34" s="144"/>
      <c r="C34" s="367" t="s">
        <v>675</v>
      </c>
      <c r="D34" s="368"/>
      <c r="E34" s="369"/>
      <c r="F34" s="370"/>
      <c r="G34" s="372" t="s">
        <v>29</v>
      </c>
      <c r="H34" s="372"/>
      <c r="I34" s="372"/>
      <c r="J34" s="372"/>
      <c r="K34" s="372"/>
      <c r="L34" s="372"/>
      <c r="M34" s="372"/>
      <c r="N34" s="372"/>
      <c r="O34" s="372"/>
      <c r="P34" s="372"/>
      <c r="Q34" s="374" t="s">
        <v>676</v>
      </c>
      <c r="R34" s="369"/>
      <c r="S34" s="369"/>
      <c r="T34" s="370"/>
      <c r="U34" s="360" t="s">
        <v>40</v>
      </c>
      <c r="V34" s="360"/>
      <c r="W34" s="360" t="s">
        <v>679</v>
      </c>
      <c r="X34" s="360"/>
      <c r="Y34" s="360" t="s">
        <v>27</v>
      </c>
      <c r="Z34" s="360"/>
      <c r="AA34" s="360"/>
      <c r="AB34" s="212" t="s">
        <v>696</v>
      </c>
      <c r="AC34" s="213"/>
      <c r="AD34" s="375" t="s">
        <v>34</v>
      </c>
      <c r="AE34" s="376"/>
      <c r="AF34" s="376"/>
      <c r="AG34" s="376"/>
      <c r="AH34" s="376"/>
      <c r="AI34" s="376"/>
      <c r="AJ34" s="376"/>
      <c r="AK34" s="376"/>
      <c r="AL34" s="376"/>
      <c r="AM34" s="376"/>
      <c r="AN34" s="376"/>
      <c r="AO34" s="376"/>
      <c r="AP34" s="376"/>
      <c r="AQ34" s="376"/>
      <c r="AR34" s="376"/>
      <c r="AS34" s="376"/>
      <c r="AT34" s="376"/>
      <c r="AU34" s="376"/>
      <c r="AV34" s="376"/>
      <c r="AW34" s="376"/>
      <c r="AX34" s="376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8"/>
      <c r="BJ34" s="383" t="s">
        <v>30</v>
      </c>
      <c r="BK34" s="384"/>
      <c r="BL34" s="384"/>
      <c r="BM34" s="384"/>
      <c r="BN34" s="384"/>
      <c r="BO34" s="384"/>
      <c r="BP34" s="384"/>
      <c r="BQ34" s="385"/>
      <c r="BR34" s="151"/>
      <c r="BS34" s="151"/>
      <c r="BT34" s="151"/>
      <c r="BU34" s="151"/>
      <c r="BV34" s="151"/>
      <c r="BW34" s="152"/>
      <c r="BX34" s="152"/>
      <c r="BY34" s="152"/>
      <c r="BZ34" s="152"/>
      <c r="CA34" s="151"/>
      <c r="CB34" s="151"/>
    </row>
    <row r="35" spans="1:97" s="145" customFormat="1" ht="12.2" customHeight="1" x14ac:dyDescent="0.15">
      <c r="A35" s="144"/>
      <c r="B35" s="144"/>
      <c r="C35" s="371"/>
      <c r="D35" s="369"/>
      <c r="E35" s="369"/>
      <c r="F35" s="370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1"/>
      <c r="R35" s="369"/>
      <c r="S35" s="369"/>
      <c r="T35" s="370"/>
      <c r="U35" s="360"/>
      <c r="V35" s="360"/>
      <c r="W35" s="360"/>
      <c r="X35" s="360"/>
      <c r="Y35" s="360"/>
      <c r="Z35" s="360"/>
      <c r="AA35" s="360"/>
      <c r="AB35" s="214"/>
      <c r="AC35" s="215"/>
      <c r="AD35" s="379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8"/>
      <c r="BJ35" s="359" t="s">
        <v>703</v>
      </c>
      <c r="BK35" s="359"/>
      <c r="BL35" s="359"/>
      <c r="BM35" s="359"/>
      <c r="BN35" s="359" t="s">
        <v>704</v>
      </c>
      <c r="BO35" s="359"/>
      <c r="BP35" s="359"/>
      <c r="BQ35" s="359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</row>
    <row r="36" spans="1:97" s="145" customFormat="1" ht="12.2" customHeight="1" x14ac:dyDescent="0.15">
      <c r="A36" s="144"/>
      <c r="B36" s="144"/>
      <c r="C36" s="364" t="s">
        <v>9</v>
      </c>
      <c r="D36" s="365"/>
      <c r="E36" s="365"/>
      <c r="F36" s="366"/>
      <c r="G36" s="363" t="s">
        <v>10</v>
      </c>
      <c r="H36" s="363"/>
      <c r="I36" s="363"/>
      <c r="J36" s="363"/>
      <c r="K36" s="363"/>
      <c r="L36" s="363" t="s">
        <v>11</v>
      </c>
      <c r="M36" s="363"/>
      <c r="N36" s="363"/>
      <c r="O36" s="363"/>
      <c r="P36" s="363"/>
      <c r="Q36" s="364" t="s">
        <v>9</v>
      </c>
      <c r="R36" s="365"/>
      <c r="S36" s="365"/>
      <c r="T36" s="366"/>
      <c r="U36" s="360"/>
      <c r="V36" s="360"/>
      <c r="W36" s="360"/>
      <c r="X36" s="360"/>
      <c r="Y36" s="360"/>
      <c r="Z36" s="360"/>
      <c r="AA36" s="360"/>
      <c r="AB36" s="216"/>
      <c r="AC36" s="217"/>
      <c r="AD36" s="380"/>
      <c r="AE36" s="381"/>
      <c r="AF36" s="381"/>
      <c r="AG36" s="381"/>
      <c r="AH36" s="381"/>
      <c r="AI36" s="381"/>
      <c r="AJ36" s="381"/>
      <c r="AK36" s="381"/>
      <c r="AL36" s="381"/>
      <c r="AM36" s="381"/>
      <c r="AN36" s="381"/>
      <c r="AO36" s="381"/>
      <c r="AP36" s="381"/>
      <c r="AQ36" s="381"/>
      <c r="AR36" s="381"/>
      <c r="AS36" s="381"/>
      <c r="AT36" s="381"/>
      <c r="AU36" s="381"/>
      <c r="AV36" s="381"/>
      <c r="AW36" s="381"/>
      <c r="AX36" s="381"/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  <c r="BI36" s="382"/>
      <c r="BJ36" s="359" t="s">
        <v>3</v>
      </c>
      <c r="BK36" s="359"/>
      <c r="BL36" s="359" t="s">
        <v>4</v>
      </c>
      <c r="BM36" s="359"/>
      <c r="BN36" s="359" t="s">
        <v>3</v>
      </c>
      <c r="BO36" s="359"/>
      <c r="BP36" s="359" t="s">
        <v>4</v>
      </c>
      <c r="BQ36" s="359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</row>
    <row r="37" spans="1:97" s="145" customFormat="1" ht="27" customHeight="1" x14ac:dyDescent="0.15">
      <c r="A37" s="144"/>
      <c r="B37" s="144"/>
      <c r="C37" s="361">
        <f>【入力ｼｰﾄ】支援課提出用!C37</f>
        <v>0</v>
      </c>
      <c r="D37" s="361"/>
      <c r="E37" s="361"/>
      <c r="F37" s="361"/>
      <c r="G37" s="361">
        <f>【入力ｼｰﾄ】支援課提出用!G37</f>
        <v>0</v>
      </c>
      <c r="H37" s="361"/>
      <c r="I37" s="361"/>
      <c r="J37" s="361"/>
      <c r="K37" s="361"/>
      <c r="L37" s="361">
        <f>【入力ｼｰﾄ】支援課提出用!L37</f>
        <v>0</v>
      </c>
      <c r="M37" s="361"/>
      <c r="N37" s="361"/>
      <c r="O37" s="361"/>
      <c r="P37" s="361"/>
      <c r="Q37" s="361">
        <f>【入力ｼｰﾄ】支援課提出用!Q37</f>
        <v>0</v>
      </c>
      <c r="R37" s="361"/>
      <c r="S37" s="361"/>
      <c r="T37" s="361"/>
      <c r="U37" s="362">
        <f>【入力ｼｰﾄ】支援課提出用!U37</f>
        <v>0</v>
      </c>
      <c r="V37" s="362"/>
      <c r="W37" s="362">
        <f>【入力ｼｰﾄ】支援課提出用!W37</f>
        <v>0</v>
      </c>
      <c r="X37" s="362"/>
      <c r="Y37" s="362">
        <f>【入力ｼｰﾄ】支援課提出用!Y37</f>
        <v>0</v>
      </c>
      <c r="Z37" s="362"/>
      <c r="AA37" s="362"/>
      <c r="AB37" s="355">
        <f>【入力ｼｰﾄ】支援課提出用!AB37</f>
        <v>0</v>
      </c>
      <c r="AC37" s="355"/>
      <c r="AD37" s="356">
        <f>【入力ｼｰﾄ】支援課提出用!AD37</f>
        <v>0</v>
      </c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6"/>
      <c r="BJ37" s="357">
        <f>【入力ｼｰﾄ】支援課提出用!BJ37</f>
        <v>0</v>
      </c>
      <c r="BK37" s="357"/>
      <c r="BL37" s="358">
        <v>20</v>
      </c>
      <c r="BM37" s="358"/>
      <c r="BN37" s="357">
        <f>【入力ｼｰﾄ】支援課提出用!BN37</f>
        <v>0</v>
      </c>
      <c r="BO37" s="357"/>
      <c r="BP37" s="358">
        <v>20</v>
      </c>
      <c r="BQ37" s="358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</row>
    <row r="38" spans="1:97" s="150" customFormat="1" ht="27" customHeight="1" x14ac:dyDescent="0.2">
      <c r="A38" s="149"/>
      <c r="B38" s="149"/>
      <c r="C38" s="153"/>
      <c r="D38" s="153"/>
      <c r="E38" s="153"/>
      <c r="F38" s="153"/>
      <c r="G38" s="154"/>
      <c r="H38" s="154"/>
      <c r="I38" s="154"/>
      <c r="J38" s="154"/>
      <c r="K38" s="154"/>
      <c r="L38" s="154"/>
      <c r="M38" s="154"/>
      <c r="N38" s="189" t="s">
        <v>792</v>
      </c>
      <c r="O38" s="154"/>
      <c r="P38" s="154"/>
      <c r="Q38" s="154"/>
      <c r="R38" s="154"/>
      <c r="S38" s="154"/>
      <c r="T38" s="154"/>
      <c r="U38" s="155"/>
      <c r="V38" s="155"/>
      <c r="W38" s="156"/>
      <c r="X38" s="156"/>
      <c r="Y38" s="155"/>
      <c r="Z38" s="155"/>
      <c r="AA38" s="155"/>
      <c r="AB38" s="156"/>
      <c r="AC38" s="156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8"/>
      <c r="BK38" s="159"/>
      <c r="BL38" s="160"/>
      <c r="BM38" s="159"/>
      <c r="BN38" s="158"/>
      <c r="BO38" s="159"/>
      <c r="BP38" s="160"/>
      <c r="BQ38" s="159"/>
    </row>
    <row r="39" spans="1:97" ht="5.25" customHeight="1" thickBot="1" x14ac:dyDescent="0.2"/>
    <row r="40" spans="1:97" ht="20.100000000000001" customHeight="1" x14ac:dyDescent="0.15">
      <c r="C40" s="253" t="s">
        <v>677</v>
      </c>
      <c r="D40" s="254"/>
      <c r="E40" s="254"/>
      <c r="F40" s="254"/>
      <c r="G40" s="254"/>
      <c r="H40" s="254"/>
      <c r="I40" s="254"/>
      <c r="J40" s="255"/>
      <c r="BR40" s="329" t="s">
        <v>12</v>
      </c>
      <c r="BS40" s="330"/>
      <c r="BT40" s="331"/>
      <c r="BU40" s="98"/>
      <c r="BV40" s="329" t="s">
        <v>14</v>
      </c>
      <c r="BW40" s="330"/>
      <c r="BX40" s="331"/>
      <c r="BY40" s="98"/>
      <c r="BZ40" s="354"/>
      <c r="CA40" s="354"/>
      <c r="CB40" s="354"/>
    </row>
    <row r="41" spans="1:97" ht="20.100000000000001" customHeight="1" thickBot="1" x14ac:dyDescent="0.2">
      <c r="C41" s="256"/>
      <c r="D41" s="257"/>
      <c r="E41" s="257"/>
      <c r="F41" s="257"/>
      <c r="G41" s="257"/>
      <c r="H41" s="257"/>
      <c r="I41" s="257"/>
      <c r="J41" s="258"/>
      <c r="BR41" s="324" t="s">
        <v>702</v>
      </c>
      <c r="BS41" s="325"/>
      <c r="BT41" s="326"/>
      <c r="BU41" s="98"/>
      <c r="BV41" s="324" t="s">
        <v>702</v>
      </c>
      <c r="BW41" s="325"/>
      <c r="BX41" s="326"/>
      <c r="BY41" s="98"/>
      <c r="BZ41" s="354"/>
      <c r="CA41" s="354"/>
      <c r="CB41" s="354"/>
    </row>
    <row r="42" spans="1:97" ht="20.100000000000001" customHeight="1" x14ac:dyDescent="0.15">
      <c r="BR42" s="344">
        <f>【入力ｼｰﾄ】支援課提出用!BR42</f>
        <v>0</v>
      </c>
      <c r="BS42" s="345"/>
      <c r="BT42" s="346"/>
      <c r="BU42" s="99"/>
      <c r="BV42" s="344">
        <f>【入力ｼｰﾄ】支援課提出用!BV42</f>
        <v>0</v>
      </c>
      <c r="BW42" s="345"/>
      <c r="BX42" s="346"/>
      <c r="BY42" s="99"/>
      <c r="BZ42" s="350"/>
      <c r="CA42" s="351"/>
      <c r="CB42" s="351"/>
    </row>
    <row r="43" spans="1:97" ht="20.100000000000001" customHeight="1" x14ac:dyDescent="0.15">
      <c r="BR43" s="347"/>
      <c r="BS43" s="348"/>
      <c r="BT43" s="349"/>
      <c r="BV43" s="347"/>
      <c r="BW43" s="348"/>
      <c r="BX43" s="349"/>
      <c r="BZ43" s="351"/>
      <c r="CA43" s="351"/>
      <c r="CB43" s="351"/>
    </row>
  </sheetData>
  <sheetProtection sheet="1" selectLockedCells="1"/>
  <mergeCells count="222">
    <mergeCell ref="C16:F17"/>
    <mergeCell ref="G16:P17"/>
    <mergeCell ref="Q16:T17"/>
    <mergeCell ref="AB16:AC18"/>
    <mergeCell ref="A6:A12"/>
    <mergeCell ref="C6:F6"/>
    <mergeCell ref="G6:H7"/>
    <mergeCell ref="C7:F7"/>
    <mergeCell ref="P7:Q7"/>
    <mergeCell ref="C15:D15"/>
    <mergeCell ref="C18:F18"/>
    <mergeCell ref="G18:K18"/>
    <mergeCell ref="BJ17:BM17"/>
    <mergeCell ref="BN17:BQ17"/>
    <mergeCell ref="L6:O6"/>
    <mergeCell ref="L7:O7"/>
    <mergeCell ref="L8:O9"/>
    <mergeCell ref="AD16:BI18"/>
    <mergeCell ref="BJ16:BQ16"/>
    <mergeCell ref="BP18:BQ18"/>
    <mergeCell ref="U16:V18"/>
    <mergeCell ref="W16:X18"/>
    <mergeCell ref="Y16:AA18"/>
    <mergeCell ref="L18:P18"/>
    <mergeCell ref="Q18:T18"/>
    <mergeCell ref="BJ18:BK18"/>
    <mergeCell ref="BL18:BM18"/>
    <mergeCell ref="BN18:BO18"/>
    <mergeCell ref="A1:H1"/>
    <mergeCell ref="AC1:BC2"/>
    <mergeCell ref="CG3:CI3"/>
    <mergeCell ref="CJ3:CL3"/>
    <mergeCell ref="BC5:BD5"/>
    <mergeCell ref="BE5:BZ5"/>
    <mergeCell ref="BR1:BX1"/>
    <mergeCell ref="BZ1:CB1"/>
    <mergeCell ref="BU2:BV2"/>
    <mergeCell ref="BX2:BY2"/>
    <mergeCell ref="CA2:CB2"/>
    <mergeCell ref="BW12:BX14"/>
    <mergeCell ref="CA12:CB14"/>
    <mergeCell ref="AU14:AV14"/>
    <mergeCell ref="P8:Q9"/>
    <mergeCell ref="I6:K6"/>
    <mergeCell ref="C8:F9"/>
    <mergeCell ref="BC7:BD7"/>
    <mergeCell ref="BE7:CA7"/>
    <mergeCell ref="BX9:BY9"/>
    <mergeCell ref="G8:H9"/>
    <mergeCell ref="I8:K9"/>
    <mergeCell ref="P6:Q6"/>
    <mergeCell ref="R8:AZ9"/>
    <mergeCell ref="I7:K7"/>
    <mergeCell ref="CI13:CK14"/>
    <mergeCell ref="BY12:BZ14"/>
    <mergeCell ref="AY14:BD14"/>
    <mergeCell ref="BE14:BJ14"/>
    <mergeCell ref="BW15:BX15"/>
    <mergeCell ref="BY15:BZ15"/>
    <mergeCell ref="CA15:CB15"/>
    <mergeCell ref="E15:AP15"/>
    <mergeCell ref="AY15:BD15"/>
    <mergeCell ref="BE15:BJ15"/>
    <mergeCell ref="BK15:BP15"/>
    <mergeCell ref="BQ15:BV15"/>
    <mergeCell ref="BK13:BP14"/>
    <mergeCell ref="BQ13:BV14"/>
    <mergeCell ref="C12:AP13"/>
    <mergeCell ref="C14:D14"/>
    <mergeCell ref="E14:F14"/>
    <mergeCell ref="G14:AP14"/>
    <mergeCell ref="AQ14:AT14"/>
    <mergeCell ref="AW14:AX14"/>
    <mergeCell ref="AQ12:AX13"/>
    <mergeCell ref="AY12:BD13"/>
    <mergeCell ref="BE12:BJ13"/>
    <mergeCell ref="BK12:BV12"/>
    <mergeCell ref="Y19:AA19"/>
    <mergeCell ref="AB19:AC19"/>
    <mergeCell ref="AD19:BI19"/>
    <mergeCell ref="BJ19:BK19"/>
    <mergeCell ref="BL19:BM19"/>
    <mergeCell ref="BN19:BO19"/>
    <mergeCell ref="BP19:BQ19"/>
    <mergeCell ref="C19:F19"/>
    <mergeCell ref="G19:K19"/>
    <mergeCell ref="L19:P19"/>
    <mergeCell ref="Q19:T19"/>
    <mergeCell ref="U19:V19"/>
    <mergeCell ref="W19:X19"/>
    <mergeCell ref="CI22:CK23"/>
    <mergeCell ref="C23:D23"/>
    <mergeCell ref="E23:F23"/>
    <mergeCell ref="G23:AP23"/>
    <mergeCell ref="AQ23:AT23"/>
    <mergeCell ref="AU23:AV23"/>
    <mergeCell ref="BW21:BX23"/>
    <mergeCell ref="AW23:AX23"/>
    <mergeCell ref="AY23:BD23"/>
    <mergeCell ref="BE23:BJ23"/>
    <mergeCell ref="BY21:BZ23"/>
    <mergeCell ref="CA21:CB23"/>
    <mergeCell ref="C21:AP22"/>
    <mergeCell ref="AQ21:AX22"/>
    <mergeCell ref="AY21:BD22"/>
    <mergeCell ref="BE21:BJ22"/>
    <mergeCell ref="BK21:BV21"/>
    <mergeCell ref="BK22:BP23"/>
    <mergeCell ref="CA24:CB24"/>
    <mergeCell ref="C25:F26"/>
    <mergeCell ref="G25:P26"/>
    <mergeCell ref="Q25:T26"/>
    <mergeCell ref="AB25:AC27"/>
    <mergeCell ref="AD25:BI27"/>
    <mergeCell ref="BJ25:BQ25"/>
    <mergeCell ref="BJ26:BM26"/>
    <mergeCell ref="C24:D24"/>
    <mergeCell ref="E24:AP24"/>
    <mergeCell ref="AY24:BD24"/>
    <mergeCell ref="BE24:BJ24"/>
    <mergeCell ref="BK24:BP24"/>
    <mergeCell ref="BQ24:BV24"/>
    <mergeCell ref="BN27:BO27"/>
    <mergeCell ref="BP27:BQ27"/>
    <mergeCell ref="BN26:BQ26"/>
    <mergeCell ref="BJ27:BK27"/>
    <mergeCell ref="BL27:BM27"/>
    <mergeCell ref="U25:V27"/>
    <mergeCell ref="W25:X27"/>
    <mergeCell ref="Y25:AA27"/>
    <mergeCell ref="BY24:BZ24"/>
    <mergeCell ref="BW24:BX24"/>
    <mergeCell ref="C28:F28"/>
    <mergeCell ref="G28:K28"/>
    <mergeCell ref="L28:P28"/>
    <mergeCell ref="Q28:T28"/>
    <mergeCell ref="U28:V28"/>
    <mergeCell ref="C27:F27"/>
    <mergeCell ref="G27:K27"/>
    <mergeCell ref="L27:P27"/>
    <mergeCell ref="Q27:T27"/>
    <mergeCell ref="BP28:BQ28"/>
    <mergeCell ref="Y28:AA28"/>
    <mergeCell ref="AB28:AC28"/>
    <mergeCell ref="AD28:BI28"/>
    <mergeCell ref="BJ28:BK28"/>
    <mergeCell ref="BL28:BM28"/>
    <mergeCell ref="BN28:BO28"/>
    <mergeCell ref="W28:X28"/>
    <mergeCell ref="BQ22:BV23"/>
    <mergeCell ref="CI31:CK32"/>
    <mergeCell ref="BY30:BZ32"/>
    <mergeCell ref="CA30:CB32"/>
    <mergeCell ref="BW33:BX33"/>
    <mergeCell ref="BY33:BZ33"/>
    <mergeCell ref="C32:D32"/>
    <mergeCell ref="E32:F32"/>
    <mergeCell ref="G32:AP32"/>
    <mergeCell ref="AQ32:AT32"/>
    <mergeCell ref="AU32:AV32"/>
    <mergeCell ref="BW30:BX32"/>
    <mergeCell ref="AW32:AX32"/>
    <mergeCell ref="AY32:BD32"/>
    <mergeCell ref="BE32:BJ32"/>
    <mergeCell ref="C30:AP31"/>
    <mergeCell ref="AQ30:AX31"/>
    <mergeCell ref="AY30:BD31"/>
    <mergeCell ref="BE30:BJ31"/>
    <mergeCell ref="BK30:BV30"/>
    <mergeCell ref="BK31:BP32"/>
    <mergeCell ref="BQ31:BV32"/>
    <mergeCell ref="BN36:BO36"/>
    <mergeCell ref="Y34:AA36"/>
    <mergeCell ref="CA33:CB33"/>
    <mergeCell ref="C34:F35"/>
    <mergeCell ref="G34:P35"/>
    <mergeCell ref="Q34:T35"/>
    <mergeCell ref="AB34:AC36"/>
    <mergeCell ref="AD34:BI36"/>
    <mergeCell ref="BJ34:BQ34"/>
    <mergeCell ref="BJ35:BM35"/>
    <mergeCell ref="BN35:BQ35"/>
    <mergeCell ref="C36:F36"/>
    <mergeCell ref="E33:AP33"/>
    <mergeCell ref="AY33:BD33"/>
    <mergeCell ref="BE33:BJ33"/>
    <mergeCell ref="BK33:BP33"/>
    <mergeCell ref="BQ33:BV33"/>
    <mergeCell ref="C33:D33"/>
    <mergeCell ref="U37:V37"/>
    <mergeCell ref="W37:X37"/>
    <mergeCell ref="Y37:AA37"/>
    <mergeCell ref="W34:X36"/>
    <mergeCell ref="G36:K36"/>
    <mergeCell ref="L36:P36"/>
    <mergeCell ref="Q36:T36"/>
    <mergeCell ref="BJ36:BK36"/>
    <mergeCell ref="BL36:BM36"/>
    <mergeCell ref="BR42:BT43"/>
    <mergeCell ref="BV42:BX43"/>
    <mergeCell ref="BZ42:CB43"/>
    <mergeCell ref="BC9:BD9"/>
    <mergeCell ref="BE9:BV9"/>
    <mergeCell ref="C40:J41"/>
    <mergeCell ref="BR40:BT40"/>
    <mergeCell ref="BV40:BX40"/>
    <mergeCell ref="BZ40:CB40"/>
    <mergeCell ref="BR41:BT41"/>
    <mergeCell ref="BV41:BX41"/>
    <mergeCell ref="BZ41:CB41"/>
    <mergeCell ref="AB37:AC37"/>
    <mergeCell ref="AD37:BI37"/>
    <mergeCell ref="BJ37:BK37"/>
    <mergeCell ref="BL37:BM37"/>
    <mergeCell ref="BN37:BO37"/>
    <mergeCell ref="BP37:BQ37"/>
    <mergeCell ref="BP36:BQ36"/>
    <mergeCell ref="U34:V36"/>
    <mergeCell ref="C37:F37"/>
    <mergeCell ref="G37:K37"/>
    <mergeCell ref="L37:P37"/>
    <mergeCell ref="Q37:T37"/>
  </mergeCells>
  <phoneticPr fontId="2"/>
  <dataValidations count="2">
    <dataValidation type="list" allowBlank="1" showInputMessage="1" showErrorMessage="1" sqref="BN38:BO38 BJ38:BK38" xr:uid="{00000000-0002-0000-0100-000000000000}">
      <formula1>"1,3,5,7,9,11"</formula1>
    </dataValidation>
    <dataValidation type="list" allowBlank="1" showInputMessage="1" showErrorMessage="1" sqref="AB38" xr:uid="{00000000-0002-0000-0100-000001000000}">
      <formula1>"１　あり,２　なし"</formula1>
    </dataValidation>
  </dataValidations>
  <printOptions horizontalCentered="1" verticalCentered="1"/>
  <pageMargins left="0.23622047244094491" right="0.23622047244094491" top="0.39370078740157483" bottom="0.19685039370078741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Z43"/>
  <sheetViews>
    <sheetView zoomScale="80" zoomScaleNormal="80" workbookViewId="0">
      <selection activeCell="CG4" sqref="CG4"/>
    </sheetView>
  </sheetViews>
  <sheetFormatPr defaultColWidth="1.625" defaultRowHeight="20.100000000000001" customHeight="1" x14ac:dyDescent="0.15"/>
  <cols>
    <col min="1" max="1" width="2.5" style="48" customWidth="1"/>
    <col min="2" max="2" width="1.625" style="48"/>
    <col min="3" max="91" width="2.25" style="48" customWidth="1"/>
    <col min="92" max="104" width="1.625" style="48"/>
    <col min="105" max="16384" width="1.625" style="51"/>
  </cols>
  <sheetData>
    <row r="1" spans="1:104" ht="12.75" customHeight="1" x14ac:dyDescent="0.2">
      <c r="A1" s="454"/>
      <c r="B1" s="454"/>
      <c r="C1" s="454"/>
      <c r="D1" s="454"/>
      <c r="E1" s="454"/>
      <c r="F1" s="454"/>
      <c r="G1" s="454"/>
      <c r="H1" s="454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455" t="s">
        <v>19</v>
      </c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  <c r="AR1" s="455"/>
      <c r="AS1" s="455"/>
      <c r="AT1" s="455"/>
      <c r="AU1" s="455"/>
      <c r="AV1" s="455"/>
      <c r="AW1" s="455"/>
      <c r="AX1" s="455"/>
      <c r="AY1" s="455"/>
      <c r="AZ1" s="455"/>
      <c r="BA1" s="455"/>
      <c r="BB1" s="455"/>
      <c r="BC1" s="455"/>
      <c r="BD1" s="117"/>
      <c r="BE1" s="118"/>
      <c r="BF1" s="117"/>
      <c r="BG1" s="117"/>
      <c r="BH1" s="116"/>
      <c r="BI1" s="116"/>
      <c r="BJ1" s="116"/>
      <c r="BK1" s="116"/>
      <c r="BL1" s="116"/>
      <c r="BM1" s="116"/>
      <c r="BN1" s="118"/>
      <c r="BO1" s="118"/>
      <c r="BP1" s="118"/>
      <c r="BQ1" s="118"/>
      <c r="BR1" s="456">
        <f>【入力ｼｰﾄ】支援課提出用!BR1:BX1</f>
        <v>0</v>
      </c>
      <c r="BS1" s="457"/>
      <c r="BT1" s="457"/>
      <c r="BU1" s="457"/>
      <c r="BV1" s="457"/>
      <c r="BW1" s="457"/>
      <c r="BX1" s="457"/>
      <c r="BY1" s="183" t="s">
        <v>23</v>
      </c>
      <c r="BZ1" s="458">
        <f>【入力ｼｰﾄ】支援課提出用!BZ1:CB1</f>
        <v>0</v>
      </c>
      <c r="CA1" s="459"/>
      <c r="CB1" s="459"/>
      <c r="CC1" s="184" t="s">
        <v>24</v>
      </c>
      <c r="CD1" s="166"/>
      <c r="CE1" s="49"/>
    </row>
    <row r="2" spans="1:104" ht="12.75" customHeight="1" x14ac:dyDescent="0.15">
      <c r="A2" s="119"/>
      <c r="B2" s="119"/>
      <c r="C2" s="168" t="s">
        <v>683</v>
      </c>
      <c r="D2" s="119"/>
      <c r="E2" s="119"/>
      <c r="F2" s="119"/>
      <c r="G2" s="119"/>
      <c r="H2" s="119"/>
      <c r="I2" s="116"/>
      <c r="J2" s="116"/>
      <c r="K2" s="116"/>
      <c r="L2" s="116"/>
      <c r="M2" s="116"/>
      <c r="N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5"/>
      <c r="AQ2" s="455"/>
      <c r="AR2" s="455"/>
      <c r="AS2" s="455"/>
      <c r="AT2" s="455"/>
      <c r="AU2" s="455"/>
      <c r="AV2" s="455"/>
      <c r="AW2" s="455"/>
      <c r="AX2" s="455"/>
      <c r="AY2" s="455"/>
      <c r="AZ2" s="455"/>
      <c r="BA2" s="455"/>
      <c r="BB2" s="455"/>
      <c r="BC2" s="455"/>
      <c r="BD2" s="118"/>
      <c r="BE2" s="118"/>
      <c r="BF2" s="118"/>
      <c r="BG2" s="118"/>
      <c r="BH2" s="116"/>
      <c r="BI2" s="116"/>
      <c r="BJ2" s="116"/>
      <c r="BK2" s="116"/>
      <c r="BL2" s="116"/>
      <c r="BM2" s="116"/>
      <c r="BN2" s="118"/>
      <c r="BO2" s="118"/>
      <c r="BP2" s="118"/>
      <c r="BQ2" s="118"/>
      <c r="BR2" s="185"/>
      <c r="BS2" s="186"/>
      <c r="BT2" s="186"/>
      <c r="BU2" s="458">
        <f>【入力ｼｰﾄ】支援課提出用!BU2:BV2</f>
        <v>0</v>
      </c>
      <c r="BV2" s="459"/>
      <c r="BW2" s="186" t="s">
        <v>21</v>
      </c>
      <c r="BX2" s="458">
        <f>【入力ｼｰﾄ】支援課提出用!BX2:BY2</f>
        <v>0</v>
      </c>
      <c r="BY2" s="459"/>
      <c r="BZ2" s="186" t="s">
        <v>25</v>
      </c>
      <c r="CA2" s="458">
        <f>【入力ｼｰﾄ】支援課提出用!CA2:CB2</f>
        <v>0</v>
      </c>
      <c r="CB2" s="459"/>
      <c r="CC2" s="187" t="s">
        <v>26</v>
      </c>
      <c r="CD2" s="161"/>
      <c r="CE2" s="53"/>
    </row>
    <row r="3" spans="1:104" ht="12.75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S3" s="118"/>
      <c r="T3" s="118"/>
      <c r="U3" s="118"/>
      <c r="V3" s="118"/>
      <c r="W3" s="118"/>
      <c r="X3" s="118"/>
      <c r="Y3" s="118"/>
      <c r="Z3" s="120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21"/>
      <c r="BQ3" s="121"/>
      <c r="BR3" s="121"/>
      <c r="BS3" s="121"/>
      <c r="BT3" s="121"/>
      <c r="BU3" s="121"/>
      <c r="BV3" s="121"/>
      <c r="BW3" s="121"/>
      <c r="BX3" s="121"/>
      <c r="BY3" s="118"/>
      <c r="BZ3" s="118"/>
      <c r="CA3" s="118"/>
      <c r="CB3" s="118"/>
      <c r="CC3" s="118"/>
      <c r="CD3" s="118"/>
      <c r="CG3" s="315"/>
      <c r="CH3" s="315"/>
      <c r="CI3" s="315"/>
      <c r="CJ3" s="315"/>
      <c r="CK3" s="315"/>
      <c r="CL3" s="315"/>
    </row>
    <row r="4" spans="1:104" ht="12.75" customHeight="1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G4" s="56"/>
      <c r="CH4" s="57"/>
      <c r="CI4" s="58"/>
      <c r="CJ4" s="56"/>
      <c r="CK4" s="57"/>
      <c r="CL4" s="58"/>
    </row>
    <row r="5" spans="1:104" ht="15.7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22"/>
      <c r="AW5" s="122"/>
      <c r="AX5" s="122" t="s">
        <v>12</v>
      </c>
      <c r="AY5" s="122"/>
      <c r="AZ5" s="123"/>
      <c r="BA5" s="123"/>
      <c r="BB5" s="118"/>
      <c r="BC5" s="438" t="s">
        <v>22</v>
      </c>
      <c r="BD5" s="438"/>
      <c r="BE5" s="480">
        <f>【入力ｼｰﾄ】支援課提出用!BE5:BZ5</f>
        <v>0</v>
      </c>
      <c r="BF5" s="480"/>
      <c r="BG5" s="480"/>
      <c r="BH5" s="480"/>
      <c r="BI5" s="480"/>
      <c r="BJ5" s="480"/>
      <c r="BK5" s="480"/>
      <c r="BL5" s="480"/>
      <c r="BM5" s="480"/>
      <c r="BN5" s="480"/>
      <c r="BO5" s="480"/>
      <c r="BP5" s="480"/>
      <c r="BQ5" s="480"/>
      <c r="BR5" s="480"/>
      <c r="BS5" s="480"/>
      <c r="BT5" s="480"/>
      <c r="BU5" s="480"/>
      <c r="BV5" s="480"/>
      <c r="BW5" s="480"/>
      <c r="BX5" s="480"/>
      <c r="BY5" s="480"/>
      <c r="BZ5" s="480"/>
      <c r="CA5" s="118"/>
      <c r="CB5" s="118"/>
      <c r="CC5" s="118"/>
      <c r="CD5" s="118"/>
      <c r="CZ5" s="51"/>
    </row>
    <row r="6" spans="1:104" ht="15.75" customHeight="1" x14ac:dyDescent="0.15">
      <c r="A6" s="468"/>
      <c r="B6" s="118"/>
      <c r="C6" s="447" t="s">
        <v>13</v>
      </c>
      <c r="D6" s="481"/>
      <c r="E6" s="481"/>
      <c r="F6" s="481"/>
      <c r="G6" s="469" t="s">
        <v>43</v>
      </c>
      <c r="H6" s="470"/>
      <c r="I6" s="429" t="s">
        <v>44</v>
      </c>
      <c r="J6" s="430"/>
      <c r="K6" s="431"/>
      <c r="L6" s="447" t="s">
        <v>17</v>
      </c>
      <c r="M6" s="460"/>
      <c r="N6" s="460"/>
      <c r="O6" s="461"/>
      <c r="P6" s="447" t="s">
        <v>17</v>
      </c>
      <c r="Q6" s="448"/>
      <c r="R6" s="125"/>
      <c r="S6" s="125" t="s">
        <v>674</v>
      </c>
      <c r="T6" s="125"/>
      <c r="U6" s="125"/>
      <c r="V6" s="126"/>
      <c r="W6" s="126"/>
      <c r="X6" s="118"/>
      <c r="Y6" s="118"/>
      <c r="Z6" s="118"/>
      <c r="AA6" s="118"/>
      <c r="AB6" s="65"/>
      <c r="AC6" s="65"/>
      <c r="AD6" s="65"/>
      <c r="AE6" s="65"/>
      <c r="AF6" s="65"/>
      <c r="AG6" s="65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26"/>
      <c r="BD6" s="126"/>
      <c r="BE6" s="12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18"/>
      <c r="BZ6" s="118"/>
      <c r="CA6" s="118"/>
      <c r="CB6" s="118"/>
      <c r="CC6" s="118"/>
      <c r="CD6" s="118"/>
    </row>
    <row r="7" spans="1:104" ht="15.75" customHeight="1" x14ac:dyDescent="0.15">
      <c r="A7" s="468"/>
      <c r="B7" s="118"/>
      <c r="C7" s="462" t="s">
        <v>37</v>
      </c>
      <c r="D7" s="463"/>
      <c r="E7" s="463"/>
      <c r="F7" s="463"/>
      <c r="G7" s="471"/>
      <c r="H7" s="472"/>
      <c r="I7" s="451" t="s">
        <v>16</v>
      </c>
      <c r="J7" s="452"/>
      <c r="K7" s="453"/>
      <c r="L7" s="462" t="s">
        <v>18</v>
      </c>
      <c r="M7" s="463"/>
      <c r="N7" s="463"/>
      <c r="O7" s="464"/>
      <c r="P7" s="462" t="s">
        <v>0</v>
      </c>
      <c r="Q7" s="464"/>
      <c r="R7" s="125"/>
      <c r="S7" s="170" t="s">
        <v>35</v>
      </c>
      <c r="T7" s="125"/>
      <c r="U7" s="125"/>
      <c r="V7" s="126"/>
      <c r="W7" s="126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438" t="s">
        <v>20</v>
      </c>
      <c r="BD7" s="438"/>
      <c r="BE7" s="473">
        <f>【入力ｼｰﾄ】支援課提出用!BE7:CA7</f>
        <v>0</v>
      </c>
      <c r="BF7" s="473"/>
      <c r="BG7" s="473"/>
      <c r="BH7" s="473"/>
      <c r="BI7" s="473"/>
      <c r="BJ7" s="473"/>
      <c r="BK7" s="473"/>
      <c r="BL7" s="473"/>
      <c r="BM7" s="473"/>
      <c r="BN7" s="473"/>
      <c r="BO7" s="473"/>
      <c r="BP7" s="473"/>
      <c r="BQ7" s="473"/>
      <c r="BR7" s="473"/>
      <c r="BS7" s="473"/>
      <c r="BT7" s="473"/>
      <c r="BU7" s="473"/>
      <c r="BV7" s="473"/>
      <c r="BW7" s="473"/>
      <c r="BX7" s="473"/>
      <c r="BY7" s="473"/>
      <c r="BZ7" s="473"/>
      <c r="CA7" s="473"/>
      <c r="CB7" s="118"/>
      <c r="CC7" s="118"/>
      <c r="CD7" s="118"/>
    </row>
    <row r="8" spans="1:104" ht="15.75" customHeight="1" x14ac:dyDescent="0.15">
      <c r="A8" s="468"/>
      <c r="B8" s="118"/>
      <c r="C8" s="486">
        <f>【入力ｼｰﾄ】支援課提出用!C8</f>
        <v>0</v>
      </c>
      <c r="D8" s="490"/>
      <c r="E8" s="490"/>
      <c r="F8" s="487"/>
      <c r="G8" s="474">
        <f>【入力ｼｰﾄ】支援課提出用!G8</f>
        <v>0</v>
      </c>
      <c r="H8" s="475"/>
      <c r="I8" s="474">
        <f>【入力ｼｰﾄ】支援課提出用!I8</f>
        <v>0</v>
      </c>
      <c r="J8" s="482"/>
      <c r="K8" s="475"/>
      <c r="L8" s="492">
        <f>【入力ｼｰﾄ】支援課提出用!L8</f>
        <v>0</v>
      </c>
      <c r="M8" s="493"/>
      <c r="N8" s="493"/>
      <c r="O8" s="494"/>
      <c r="P8" s="486">
        <f>【入力ｼｰﾄ】支援課提出用!P8</f>
        <v>0</v>
      </c>
      <c r="Q8" s="487"/>
      <c r="R8" s="484" t="s">
        <v>789</v>
      </c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/>
      <c r="AP8" s="485"/>
      <c r="AQ8" s="485"/>
      <c r="AR8" s="485"/>
      <c r="AS8" s="485"/>
      <c r="AT8" s="485"/>
      <c r="AU8" s="485"/>
      <c r="AV8" s="485"/>
      <c r="AW8" s="485"/>
      <c r="AX8" s="485"/>
      <c r="AY8" s="485"/>
      <c r="AZ8" s="485"/>
      <c r="BA8" s="125"/>
      <c r="BB8" s="118"/>
      <c r="BC8" s="129"/>
      <c r="BD8" s="129"/>
      <c r="BE8" s="129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18"/>
      <c r="BZ8" s="118"/>
      <c r="CA8" s="118"/>
      <c r="CB8" s="118"/>
      <c r="CC8" s="118"/>
      <c r="CD8" s="118"/>
    </row>
    <row r="9" spans="1:104" ht="15.75" customHeight="1" x14ac:dyDescent="0.15">
      <c r="A9" s="468"/>
      <c r="B9" s="118"/>
      <c r="C9" s="488"/>
      <c r="D9" s="491"/>
      <c r="E9" s="491"/>
      <c r="F9" s="489"/>
      <c r="G9" s="476"/>
      <c r="H9" s="477"/>
      <c r="I9" s="476"/>
      <c r="J9" s="483"/>
      <c r="K9" s="477"/>
      <c r="L9" s="495"/>
      <c r="M9" s="496"/>
      <c r="N9" s="496"/>
      <c r="O9" s="497"/>
      <c r="P9" s="488"/>
      <c r="Q9" s="489"/>
      <c r="R9" s="485"/>
      <c r="S9" s="485"/>
      <c r="T9" s="485"/>
      <c r="U9" s="485"/>
      <c r="V9" s="485"/>
      <c r="W9" s="485"/>
      <c r="X9" s="485"/>
      <c r="Y9" s="485"/>
      <c r="Z9" s="485"/>
      <c r="AA9" s="485"/>
      <c r="AB9" s="485"/>
      <c r="AC9" s="485"/>
      <c r="AD9" s="485"/>
      <c r="AE9" s="485"/>
      <c r="AF9" s="485"/>
      <c r="AG9" s="485"/>
      <c r="AH9" s="485"/>
      <c r="AI9" s="485"/>
      <c r="AJ9" s="485"/>
      <c r="AK9" s="485"/>
      <c r="AL9" s="485"/>
      <c r="AM9" s="485"/>
      <c r="AN9" s="485"/>
      <c r="AO9" s="485"/>
      <c r="AP9" s="485"/>
      <c r="AQ9" s="485"/>
      <c r="AR9" s="485"/>
      <c r="AS9" s="485"/>
      <c r="AT9" s="485"/>
      <c r="AU9" s="485"/>
      <c r="AV9" s="485"/>
      <c r="AW9" s="485"/>
      <c r="AX9" s="485"/>
      <c r="AY9" s="485"/>
      <c r="AZ9" s="485"/>
      <c r="BA9" s="125"/>
      <c r="BB9" s="118"/>
      <c r="BC9" s="352" t="s">
        <v>32</v>
      </c>
      <c r="BD9" s="352"/>
      <c r="BE9" s="473">
        <f>【入力ｼｰﾄ】支援課提出用!BE9:BV9</f>
        <v>0</v>
      </c>
      <c r="BF9" s="473"/>
      <c r="BG9" s="473"/>
      <c r="BH9" s="473"/>
      <c r="BI9" s="473"/>
      <c r="BJ9" s="473"/>
      <c r="BK9" s="473"/>
      <c r="BL9" s="473"/>
      <c r="BM9" s="473"/>
      <c r="BN9" s="473"/>
      <c r="BO9" s="473"/>
      <c r="BP9" s="473"/>
      <c r="BQ9" s="473"/>
      <c r="BR9" s="473"/>
      <c r="BS9" s="473"/>
      <c r="BT9" s="473"/>
      <c r="BU9" s="473"/>
      <c r="BV9" s="473"/>
      <c r="BW9" s="136"/>
      <c r="BX9" s="478"/>
      <c r="BY9" s="479"/>
      <c r="BZ9" s="118"/>
      <c r="CA9" s="118"/>
      <c r="CB9" s="118"/>
      <c r="CC9" s="118"/>
      <c r="CD9" s="118"/>
    </row>
    <row r="10" spans="1:104" ht="15.75" customHeight="1" x14ac:dyDescent="0.2">
      <c r="A10" s="468"/>
      <c r="B10" s="118"/>
      <c r="C10" s="130"/>
      <c r="D10" s="130"/>
      <c r="E10" s="130"/>
      <c r="F10" s="130"/>
      <c r="G10" s="130"/>
      <c r="H10" s="130"/>
      <c r="I10" s="131"/>
      <c r="J10" s="131"/>
      <c r="K10" s="131"/>
      <c r="L10" s="132"/>
      <c r="M10" s="132"/>
      <c r="N10" s="132"/>
      <c r="O10" s="133"/>
      <c r="P10" s="133"/>
      <c r="Q10" s="118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18"/>
      <c r="BC10" s="134"/>
      <c r="BD10" s="134"/>
      <c r="BE10" s="134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6"/>
      <c r="BX10" s="136"/>
      <c r="BY10" s="137"/>
      <c r="BZ10" s="118"/>
      <c r="CA10" s="118"/>
      <c r="CB10" s="118"/>
      <c r="CC10" s="118"/>
      <c r="CD10" s="118"/>
    </row>
    <row r="11" spans="1:104" ht="6.75" customHeight="1" x14ac:dyDescent="0.2">
      <c r="A11" s="468"/>
      <c r="B11" s="118"/>
      <c r="C11" s="130"/>
      <c r="D11" s="130"/>
      <c r="E11" s="130"/>
      <c r="F11" s="130"/>
      <c r="G11" s="130"/>
      <c r="H11" s="130"/>
      <c r="I11" s="138"/>
      <c r="J11" s="138"/>
      <c r="K11" s="139"/>
      <c r="L11" s="139"/>
      <c r="M11" s="133"/>
      <c r="N11" s="133"/>
      <c r="O11" s="118"/>
      <c r="P11" s="118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18"/>
      <c r="BC11" s="134"/>
      <c r="BD11" s="134"/>
      <c r="BE11" s="134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6"/>
      <c r="BX11" s="136"/>
      <c r="BY11" s="137"/>
      <c r="BZ11" s="118"/>
      <c r="CA11" s="118"/>
      <c r="CB11" s="118"/>
      <c r="CC11" s="121"/>
      <c r="CD11" s="121"/>
      <c r="CE11" s="55"/>
      <c r="CG11" s="55"/>
      <c r="CH11" s="55"/>
      <c r="CI11" s="55"/>
      <c r="CK11" s="55"/>
      <c r="CL11" s="55"/>
      <c r="CM11" s="55"/>
    </row>
    <row r="12" spans="1:104" ht="12.75" customHeight="1" x14ac:dyDescent="0.15">
      <c r="A12" s="468"/>
      <c r="B12" s="118"/>
      <c r="C12" s="373" t="s">
        <v>41</v>
      </c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 t="s">
        <v>5</v>
      </c>
      <c r="AR12" s="373"/>
      <c r="AS12" s="373"/>
      <c r="AT12" s="373"/>
      <c r="AU12" s="373"/>
      <c r="AV12" s="373"/>
      <c r="AW12" s="373"/>
      <c r="AX12" s="403"/>
      <c r="AY12" s="404" t="s">
        <v>28</v>
      </c>
      <c r="AZ12" s="405"/>
      <c r="BA12" s="405"/>
      <c r="BB12" s="405"/>
      <c r="BC12" s="405"/>
      <c r="BD12" s="406"/>
      <c r="BE12" s="404" t="s">
        <v>6</v>
      </c>
      <c r="BF12" s="405"/>
      <c r="BG12" s="405"/>
      <c r="BH12" s="405"/>
      <c r="BI12" s="405"/>
      <c r="BJ12" s="406"/>
      <c r="BK12" s="403" t="s">
        <v>31</v>
      </c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1"/>
      <c r="BW12" s="393" t="s">
        <v>1</v>
      </c>
      <c r="BX12" s="393"/>
      <c r="BY12" s="393" t="s">
        <v>2</v>
      </c>
      <c r="BZ12" s="393"/>
      <c r="CA12" s="395" t="s">
        <v>701</v>
      </c>
      <c r="CB12" s="395"/>
      <c r="CC12" s="118"/>
      <c r="CD12" s="118"/>
    </row>
    <row r="13" spans="1:104" ht="12.75" customHeight="1" x14ac:dyDescent="0.15">
      <c r="A13" s="118"/>
      <c r="B13" s="118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403"/>
      <c r="AY13" s="407"/>
      <c r="AZ13" s="408"/>
      <c r="BA13" s="408"/>
      <c r="BB13" s="408"/>
      <c r="BC13" s="408"/>
      <c r="BD13" s="409"/>
      <c r="BE13" s="407"/>
      <c r="BF13" s="408"/>
      <c r="BG13" s="408"/>
      <c r="BH13" s="408"/>
      <c r="BI13" s="408"/>
      <c r="BJ13" s="408"/>
      <c r="BK13" s="265" t="s">
        <v>697</v>
      </c>
      <c r="BL13" s="266"/>
      <c r="BM13" s="266"/>
      <c r="BN13" s="266"/>
      <c r="BO13" s="266"/>
      <c r="BP13" s="267"/>
      <c r="BQ13" s="265" t="s">
        <v>698</v>
      </c>
      <c r="BR13" s="266"/>
      <c r="BS13" s="266"/>
      <c r="BT13" s="266"/>
      <c r="BU13" s="266"/>
      <c r="BV13" s="267"/>
      <c r="BW13" s="401"/>
      <c r="BX13" s="393"/>
      <c r="BY13" s="393"/>
      <c r="BZ13" s="393"/>
      <c r="CA13" s="395"/>
      <c r="CB13" s="395"/>
      <c r="CC13" s="118"/>
      <c r="CD13" s="118"/>
      <c r="CE13" s="80"/>
      <c r="CF13" s="80"/>
      <c r="CG13" s="80"/>
      <c r="CH13" s="80"/>
      <c r="CI13" s="327"/>
      <c r="CJ13" s="328"/>
      <c r="CK13" s="328"/>
      <c r="CL13" s="80"/>
      <c r="CM13" s="80"/>
      <c r="CN13" s="80"/>
      <c r="CO13" s="80"/>
      <c r="CP13" s="80"/>
      <c r="CQ13" s="51"/>
      <c r="CR13" s="51"/>
      <c r="CS13" s="51"/>
      <c r="CT13" s="51"/>
      <c r="CU13" s="51"/>
      <c r="CV13" s="51"/>
      <c r="CW13" s="51"/>
      <c r="CX13" s="51"/>
      <c r="CY13" s="51"/>
      <c r="CZ13" s="51"/>
    </row>
    <row r="14" spans="1:104" ht="18" customHeight="1" x14ac:dyDescent="0.15">
      <c r="A14" s="118"/>
      <c r="B14" s="118"/>
      <c r="C14" s="202" t="s">
        <v>38</v>
      </c>
      <c r="D14" s="202"/>
      <c r="E14" s="397">
        <f>【入力ｼｰﾄ】支援課提出用!E14</f>
        <v>0</v>
      </c>
      <c r="F14" s="398"/>
      <c r="G14" s="399">
        <f>【入力ｼｰﾄ】支援課提出用!G14</f>
        <v>0</v>
      </c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400"/>
      <c r="AQ14" s="373" t="s">
        <v>42</v>
      </c>
      <c r="AR14" s="373"/>
      <c r="AS14" s="373"/>
      <c r="AT14" s="373"/>
      <c r="AU14" s="373" t="s">
        <v>7</v>
      </c>
      <c r="AV14" s="373"/>
      <c r="AW14" s="373" t="s">
        <v>4</v>
      </c>
      <c r="AX14" s="373"/>
      <c r="AY14" s="379" t="s">
        <v>8</v>
      </c>
      <c r="AZ14" s="377"/>
      <c r="BA14" s="377"/>
      <c r="BB14" s="377"/>
      <c r="BC14" s="377"/>
      <c r="BD14" s="378"/>
      <c r="BE14" s="379" t="s">
        <v>8</v>
      </c>
      <c r="BF14" s="377"/>
      <c r="BG14" s="377"/>
      <c r="BH14" s="377"/>
      <c r="BI14" s="377"/>
      <c r="BJ14" s="377"/>
      <c r="BK14" s="218"/>
      <c r="BL14" s="219"/>
      <c r="BM14" s="219"/>
      <c r="BN14" s="219"/>
      <c r="BO14" s="219"/>
      <c r="BP14" s="247"/>
      <c r="BQ14" s="218"/>
      <c r="BR14" s="219"/>
      <c r="BS14" s="219"/>
      <c r="BT14" s="219"/>
      <c r="BU14" s="219"/>
      <c r="BV14" s="247"/>
      <c r="BW14" s="402"/>
      <c r="BX14" s="394"/>
      <c r="BY14" s="394"/>
      <c r="BZ14" s="394"/>
      <c r="CA14" s="396"/>
      <c r="CB14" s="396"/>
      <c r="CC14" s="118"/>
      <c r="CD14" s="118"/>
      <c r="CE14" s="80"/>
      <c r="CF14" s="80"/>
      <c r="CG14" s="80"/>
      <c r="CH14" s="80"/>
      <c r="CI14" s="328"/>
      <c r="CJ14" s="328"/>
      <c r="CK14" s="328"/>
      <c r="CL14" s="80"/>
      <c r="CM14" s="80"/>
      <c r="CN14" s="80"/>
      <c r="CO14" s="80"/>
      <c r="CP14" s="80"/>
      <c r="CQ14" s="51"/>
      <c r="CR14" s="51"/>
      <c r="CS14" s="51"/>
      <c r="CT14" s="51"/>
      <c r="CU14" s="51"/>
      <c r="CV14" s="51"/>
      <c r="CW14" s="51"/>
      <c r="CX14" s="51"/>
      <c r="CY14" s="51"/>
      <c r="CZ14" s="51"/>
    </row>
    <row r="15" spans="1:104" s="87" customFormat="1" ht="27" customHeight="1" x14ac:dyDescent="0.2">
      <c r="A15" s="140"/>
      <c r="B15" s="140"/>
      <c r="C15" s="202" t="s">
        <v>39</v>
      </c>
      <c r="D15" s="202"/>
      <c r="E15" s="419">
        <f>【入力ｼｰﾄ】支援課提出用!E15</f>
        <v>0</v>
      </c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2"/>
      <c r="AQ15" s="179">
        <f>【入力ｼｰﾄ】支援課提出用!AQ15</f>
        <v>0</v>
      </c>
      <c r="AR15" s="175">
        <f>【入力ｼｰﾄ】支援課提出用!AR15</f>
        <v>0</v>
      </c>
      <c r="AS15" s="175">
        <f>【入力ｼｰﾄ】支援課提出用!AS15</f>
        <v>0</v>
      </c>
      <c r="AT15" s="176">
        <f>【入力ｼｰﾄ】支援課提出用!AT15</f>
        <v>0</v>
      </c>
      <c r="AU15" s="179">
        <f>【入力ｼｰﾄ】支援課提出用!AU15</f>
        <v>0</v>
      </c>
      <c r="AV15" s="176">
        <f>【入力ｼｰﾄ】支援課提出用!AV15</f>
        <v>0</v>
      </c>
      <c r="AW15" s="179">
        <f>【入力ｼｰﾄ】支援課提出用!AW15</f>
        <v>0</v>
      </c>
      <c r="AX15" s="176">
        <f>【入力ｼｰﾄ】支援課提出用!AX15</f>
        <v>0</v>
      </c>
      <c r="AY15" s="227">
        <f>【入力ｼｰﾄ】支援課提出用!AY15</f>
        <v>0</v>
      </c>
      <c r="AZ15" s="227"/>
      <c r="BA15" s="227"/>
      <c r="BB15" s="227"/>
      <c r="BC15" s="227"/>
      <c r="BD15" s="227"/>
      <c r="BE15" s="227">
        <f>【入力ｼｰﾄ】支援課提出用!BE15</f>
        <v>0</v>
      </c>
      <c r="BF15" s="227"/>
      <c r="BG15" s="227"/>
      <c r="BH15" s="227"/>
      <c r="BI15" s="227"/>
      <c r="BJ15" s="227"/>
      <c r="BK15" s="227" t="str">
        <f>【入力ｼｰﾄ】支援課提出用!BK15</f>
        <v/>
      </c>
      <c r="BL15" s="227"/>
      <c r="BM15" s="227"/>
      <c r="BN15" s="227"/>
      <c r="BO15" s="227"/>
      <c r="BP15" s="227"/>
      <c r="BQ15" s="227" t="str">
        <f>【入力ｼｰﾄ】支援課提出用!BQ15</f>
        <v/>
      </c>
      <c r="BR15" s="227"/>
      <c r="BS15" s="227"/>
      <c r="BT15" s="227"/>
      <c r="BU15" s="227"/>
      <c r="BV15" s="227"/>
      <c r="BW15" s="417">
        <f>【入力ｼｰﾄ】支援課提出用!BW15</f>
        <v>0</v>
      </c>
      <c r="BX15" s="417"/>
      <c r="BY15" s="418">
        <f>【入力ｼｰﾄ】支援課提出用!BY15</f>
        <v>0</v>
      </c>
      <c r="BZ15" s="418"/>
      <c r="CA15" s="415">
        <f>【入力ｼｰﾄ】支援課提出用!CA15</f>
        <v>0</v>
      </c>
      <c r="CB15" s="415"/>
      <c r="CC15" s="140"/>
      <c r="CD15" s="140"/>
      <c r="CE15" s="85"/>
      <c r="CF15" s="84"/>
      <c r="CG15" s="84"/>
      <c r="CH15" s="84"/>
      <c r="CI15" s="84"/>
      <c r="CJ15" s="84"/>
      <c r="CK15" s="84"/>
      <c r="CL15" s="85"/>
      <c r="CM15" s="85"/>
      <c r="CN15" s="85"/>
      <c r="CO15" s="85"/>
      <c r="CP15" s="85"/>
      <c r="CQ15" s="85"/>
      <c r="CR15" s="85"/>
      <c r="CS15" s="85"/>
    </row>
    <row r="16" spans="1:104" ht="12.2" customHeight="1" x14ac:dyDescent="0.15">
      <c r="A16" s="118"/>
      <c r="B16" s="118"/>
      <c r="C16" s="367" t="s">
        <v>675</v>
      </c>
      <c r="D16" s="368"/>
      <c r="E16" s="369"/>
      <c r="F16" s="370"/>
      <c r="G16" s="372" t="s">
        <v>29</v>
      </c>
      <c r="H16" s="372"/>
      <c r="I16" s="372"/>
      <c r="J16" s="372"/>
      <c r="K16" s="372"/>
      <c r="L16" s="372"/>
      <c r="M16" s="372"/>
      <c r="N16" s="372"/>
      <c r="O16" s="372"/>
      <c r="P16" s="372"/>
      <c r="Q16" s="374" t="s">
        <v>676</v>
      </c>
      <c r="R16" s="369"/>
      <c r="S16" s="369"/>
      <c r="T16" s="370"/>
      <c r="U16" s="360" t="s">
        <v>40</v>
      </c>
      <c r="V16" s="360"/>
      <c r="W16" s="360" t="s">
        <v>679</v>
      </c>
      <c r="X16" s="360"/>
      <c r="Y16" s="360" t="s">
        <v>27</v>
      </c>
      <c r="Z16" s="360"/>
      <c r="AA16" s="360"/>
      <c r="AB16" s="212" t="s">
        <v>696</v>
      </c>
      <c r="AC16" s="213"/>
      <c r="AD16" s="375" t="s">
        <v>34</v>
      </c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8"/>
      <c r="BJ16" s="383" t="s">
        <v>30</v>
      </c>
      <c r="BK16" s="384"/>
      <c r="BL16" s="384"/>
      <c r="BM16" s="384"/>
      <c r="BN16" s="384"/>
      <c r="BO16" s="384"/>
      <c r="BP16" s="384"/>
      <c r="BQ16" s="385"/>
      <c r="BR16" s="141"/>
      <c r="BS16" s="141"/>
      <c r="BT16" s="141"/>
      <c r="BU16" s="141"/>
      <c r="BV16" s="141"/>
      <c r="BW16" s="142"/>
      <c r="BX16" s="142"/>
      <c r="BY16" s="142"/>
      <c r="BZ16" s="142"/>
      <c r="CA16" s="141"/>
      <c r="CB16" s="141"/>
      <c r="CC16" s="141"/>
      <c r="CD16" s="14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</row>
    <row r="17" spans="1:104" ht="12.2" customHeight="1" x14ac:dyDescent="0.15">
      <c r="A17" s="118"/>
      <c r="B17" s="118"/>
      <c r="C17" s="371"/>
      <c r="D17" s="369"/>
      <c r="E17" s="369"/>
      <c r="F17" s="370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1"/>
      <c r="R17" s="369"/>
      <c r="S17" s="369"/>
      <c r="T17" s="370"/>
      <c r="U17" s="360"/>
      <c r="V17" s="360"/>
      <c r="W17" s="360"/>
      <c r="X17" s="360"/>
      <c r="Y17" s="360"/>
      <c r="Z17" s="360"/>
      <c r="AA17" s="360"/>
      <c r="AB17" s="214"/>
      <c r="AC17" s="215"/>
      <c r="AD17" s="379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8"/>
      <c r="BJ17" s="359" t="s">
        <v>703</v>
      </c>
      <c r="BK17" s="359"/>
      <c r="BL17" s="359"/>
      <c r="BM17" s="359"/>
      <c r="BN17" s="359" t="s">
        <v>704</v>
      </c>
      <c r="BO17" s="359"/>
      <c r="BP17" s="359"/>
      <c r="BQ17" s="359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</row>
    <row r="18" spans="1:104" ht="12.2" customHeight="1" x14ac:dyDescent="0.15">
      <c r="A18" s="118"/>
      <c r="B18" s="118"/>
      <c r="C18" s="364" t="s">
        <v>9</v>
      </c>
      <c r="D18" s="365"/>
      <c r="E18" s="365"/>
      <c r="F18" s="366"/>
      <c r="G18" s="363" t="s">
        <v>10</v>
      </c>
      <c r="H18" s="363"/>
      <c r="I18" s="363"/>
      <c r="J18" s="363"/>
      <c r="K18" s="363"/>
      <c r="L18" s="363" t="s">
        <v>11</v>
      </c>
      <c r="M18" s="363"/>
      <c r="N18" s="363"/>
      <c r="O18" s="363"/>
      <c r="P18" s="363"/>
      <c r="Q18" s="364" t="s">
        <v>9</v>
      </c>
      <c r="R18" s="365"/>
      <c r="S18" s="365"/>
      <c r="T18" s="366"/>
      <c r="U18" s="360"/>
      <c r="V18" s="360"/>
      <c r="W18" s="360"/>
      <c r="X18" s="360"/>
      <c r="Y18" s="360"/>
      <c r="Z18" s="360"/>
      <c r="AA18" s="360"/>
      <c r="AB18" s="216"/>
      <c r="AC18" s="217"/>
      <c r="AD18" s="380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2"/>
      <c r="BJ18" s="359" t="s">
        <v>3</v>
      </c>
      <c r="BK18" s="359"/>
      <c r="BL18" s="359" t="s">
        <v>4</v>
      </c>
      <c r="BM18" s="359"/>
      <c r="BN18" s="359" t="s">
        <v>3</v>
      </c>
      <c r="BO18" s="359"/>
      <c r="BP18" s="359" t="s">
        <v>4</v>
      </c>
      <c r="BQ18" s="359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</row>
    <row r="19" spans="1:104" ht="27" customHeight="1" x14ac:dyDescent="0.15">
      <c r="A19" s="118"/>
      <c r="B19" s="118"/>
      <c r="C19" s="204">
        <f>【入力ｼｰﾄ】支援課提出用!C19</f>
        <v>0</v>
      </c>
      <c r="D19" s="204"/>
      <c r="E19" s="204"/>
      <c r="F19" s="204"/>
      <c r="G19" s="204">
        <f>【入力ｼｰﾄ】支援課提出用!G19</f>
        <v>0</v>
      </c>
      <c r="H19" s="204"/>
      <c r="I19" s="204"/>
      <c r="J19" s="204"/>
      <c r="K19" s="204"/>
      <c r="L19" s="204">
        <f>【入力ｼｰﾄ】支援課提出用!L19</f>
        <v>0</v>
      </c>
      <c r="M19" s="204"/>
      <c r="N19" s="204"/>
      <c r="O19" s="204"/>
      <c r="P19" s="204"/>
      <c r="Q19" s="204">
        <f>【入力ｼｰﾄ】支援課提出用!Q19</f>
        <v>0</v>
      </c>
      <c r="R19" s="204"/>
      <c r="S19" s="204"/>
      <c r="T19" s="204"/>
      <c r="U19" s="414">
        <f>【入力ｼｰﾄ】支援課提出用!U19</f>
        <v>0</v>
      </c>
      <c r="V19" s="414"/>
      <c r="W19" s="414">
        <f>【入力ｼｰﾄ】支援課提出用!W19</f>
        <v>0</v>
      </c>
      <c r="X19" s="414"/>
      <c r="Y19" s="414">
        <f>【入力ｼｰﾄ】支援課提出用!Y19</f>
        <v>0</v>
      </c>
      <c r="Z19" s="414"/>
      <c r="AA19" s="414"/>
      <c r="AB19" s="415">
        <f>【入力ｼｰﾄ】支援課提出用!AB19</f>
        <v>0</v>
      </c>
      <c r="AC19" s="415"/>
      <c r="AD19" s="416">
        <f>【入力ｼｰﾄ】支援課提出用!AD19</f>
        <v>0</v>
      </c>
      <c r="AE19" s="416"/>
      <c r="AF19" s="416"/>
      <c r="AG19" s="416"/>
      <c r="AH19" s="416"/>
      <c r="AI19" s="416"/>
      <c r="AJ19" s="416"/>
      <c r="AK19" s="416"/>
      <c r="AL19" s="416"/>
      <c r="AM19" s="416"/>
      <c r="AN19" s="416"/>
      <c r="AO19" s="416"/>
      <c r="AP19" s="416"/>
      <c r="AQ19" s="416"/>
      <c r="AR19" s="416"/>
      <c r="AS19" s="416"/>
      <c r="AT19" s="416"/>
      <c r="AU19" s="416"/>
      <c r="AV19" s="416"/>
      <c r="AW19" s="416"/>
      <c r="AX19" s="416"/>
      <c r="AY19" s="416"/>
      <c r="AZ19" s="416"/>
      <c r="BA19" s="416"/>
      <c r="BB19" s="416"/>
      <c r="BC19" s="416"/>
      <c r="BD19" s="416"/>
      <c r="BE19" s="416"/>
      <c r="BF19" s="416"/>
      <c r="BG19" s="416"/>
      <c r="BH19" s="416"/>
      <c r="BI19" s="416"/>
      <c r="BJ19" s="417">
        <f>【入力ｼｰﾄ】支援課提出用!BJ19</f>
        <v>0</v>
      </c>
      <c r="BK19" s="417"/>
      <c r="BL19" s="418">
        <v>20</v>
      </c>
      <c r="BM19" s="418"/>
      <c r="BN19" s="417">
        <f>【入力ｼｰﾄ】支援課提出用!BN19</f>
        <v>0</v>
      </c>
      <c r="BO19" s="417"/>
      <c r="BP19" s="418">
        <v>20</v>
      </c>
      <c r="BQ19" s="418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</row>
    <row r="20" spans="1:104" ht="15" customHeight="1" x14ac:dyDescent="0.15">
      <c r="A20" s="118"/>
      <c r="B20" s="118"/>
      <c r="C20" s="118"/>
      <c r="D20" s="118"/>
      <c r="E20" s="118"/>
      <c r="F20" s="118"/>
      <c r="G20" s="118"/>
      <c r="H20" s="120"/>
      <c r="I20" s="118"/>
      <c r="J20" s="118"/>
      <c r="K20" s="118"/>
      <c r="L20" s="118"/>
      <c r="M20" s="118"/>
      <c r="N20" s="173" t="s">
        <v>792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20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</row>
    <row r="21" spans="1:104" s="145" customFormat="1" ht="12.75" customHeight="1" x14ac:dyDescent="0.15">
      <c r="A21" s="144"/>
      <c r="B21" s="144"/>
      <c r="C21" s="373" t="s">
        <v>41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 t="s">
        <v>5</v>
      </c>
      <c r="AR21" s="373"/>
      <c r="AS21" s="373"/>
      <c r="AT21" s="373"/>
      <c r="AU21" s="373"/>
      <c r="AV21" s="373"/>
      <c r="AW21" s="373"/>
      <c r="AX21" s="403"/>
      <c r="AY21" s="404" t="s">
        <v>28</v>
      </c>
      <c r="AZ21" s="405"/>
      <c r="BA21" s="405"/>
      <c r="BB21" s="405"/>
      <c r="BC21" s="405"/>
      <c r="BD21" s="406"/>
      <c r="BE21" s="404" t="s">
        <v>6</v>
      </c>
      <c r="BF21" s="405"/>
      <c r="BG21" s="405"/>
      <c r="BH21" s="405"/>
      <c r="BI21" s="405"/>
      <c r="BJ21" s="406"/>
      <c r="BK21" s="403" t="s">
        <v>31</v>
      </c>
      <c r="BL21" s="410"/>
      <c r="BM21" s="410"/>
      <c r="BN21" s="410"/>
      <c r="BO21" s="410"/>
      <c r="BP21" s="410"/>
      <c r="BQ21" s="410"/>
      <c r="BR21" s="410"/>
      <c r="BS21" s="410"/>
      <c r="BT21" s="410"/>
      <c r="BU21" s="410"/>
      <c r="BV21" s="411"/>
      <c r="BW21" s="393" t="s">
        <v>1</v>
      </c>
      <c r="BX21" s="393"/>
      <c r="BY21" s="393" t="s">
        <v>2</v>
      </c>
      <c r="BZ21" s="393"/>
      <c r="CA21" s="395" t="s">
        <v>701</v>
      </c>
      <c r="CB21" s="395"/>
      <c r="CC21" s="144"/>
      <c r="CD21" s="144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</row>
    <row r="22" spans="1:104" s="145" customFormat="1" ht="12.75" customHeight="1" x14ac:dyDescent="0.15">
      <c r="A22" s="144"/>
      <c r="B22" s="144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403"/>
      <c r="AY22" s="407"/>
      <c r="AZ22" s="408"/>
      <c r="BA22" s="408"/>
      <c r="BB22" s="408"/>
      <c r="BC22" s="408"/>
      <c r="BD22" s="409"/>
      <c r="BE22" s="407"/>
      <c r="BF22" s="408"/>
      <c r="BG22" s="408"/>
      <c r="BH22" s="408"/>
      <c r="BI22" s="408"/>
      <c r="BJ22" s="408"/>
      <c r="BK22" s="265" t="s">
        <v>697</v>
      </c>
      <c r="BL22" s="266"/>
      <c r="BM22" s="266"/>
      <c r="BN22" s="266"/>
      <c r="BO22" s="266"/>
      <c r="BP22" s="267"/>
      <c r="BQ22" s="265" t="s">
        <v>698</v>
      </c>
      <c r="BR22" s="266"/>
      <c r="BS22" s="266"/>
      <c r="BT22" s="266"/>
      <c r="BU22" s="266"/>
      <c r="BV22" s="267"/>
      <c r="BW22" s="401"/>
      <c r="BX22" s="393"/>
      <c r="BY22" s="393"/>
      <c r="BZ22" s="393"/>
      <c r="CA22" s="395"/>
      <c r="CB22" s="395"/>
      <c r="CC22" s="144"/>
      <c r="CD22" s="144"/>
      <c r="CE22" s="146"/>
      <c r="CF22" s="146"/>
      <c r="CG22" s="146"/>
      <c r="CH22" s="146"/>
      <c r="CI22" s="391"/>
      <c r="CJ22" s="392"/>
      <c r="CK22" s="392"/>
      <c r="CL22" s="146"/>
      <c r="CM22" s="146"/>
      <c r="CN22" s="146"/>
      <c r="CO22" s="146"/>
      <c r="CP22" s="146"/>
    </row>
    <row r="23" spans="1:104" s="145" customFormat="1" ht="18" customHeight="1" x14ac:dyDescent="0.15">
      <c r="A23" s="144"/>
      <c r="B23" s="144"/>
      <c r="C23" s="202" t="s">
        <v>38</v>
      </c>
      <c r="D23" s="202"/>
      <c r="E23" s="397">
        <f>【入力ｼｰﾄ】支援課提出用!E23</f>
        <v>0</v>
      </c>
      <c r="F23" s="398"/>
      <c r="G23" s="399">
        <f>【入力ｼｰﾄ】支援課提出用!G23:AP23</f>
        <v>0</v>
      </c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373" t="s">
        <v>42</v>
      </c>
      <c r="AR23" s="373"/>
      <c r="AS23" s="373"/>
      <c r="AT23" s="373"/>
      <c r="AU23" s="373" t="s">
        <v>7</v>
      </c>
      <c r="AV23" s="373"/>
      <c r="AW23" s="373" t="s">
        <v>4</v>
      </c>
      <c r="AX23" s="373"/>
      <c r="AY23" s="379" t="s">
        <v>8</v>
      </c>
      <c r="AZ23" s="377"/>
      <c r="BA23" s="377"/>
      <c r="BB23" s="377"/>
      <c r="BC23" s="377"/>
      <c r="BD23" s="378"/>
      <c r="BE23" s="379" t="s">
        <v>8</v>
      </c>
      <c r="BF23" s="377"/>
      <c r="BG23" s="377"/>
      <c r="BH23" s="377"/>
      <c r="BI23" s="377"/>
      <c r="BJ23" s="377"/>
      <c r="BK23" s="218"/>
      <c r="BL23" s="219"/>
      <c r="BM23" s="219"/>
      <c r="BN23" s="219"/>
      <c r="BO23" s="219"/>
      <c r="BP23" s="247"/>
      <c r="BQ23" s="218"/>
      <c r="BR23" s="219"/>
      <c r="BS23" s="219"/>
      <c r="BT23" s="219"/>
      <c r="BU23" s="219"/>
      <c r="BV23" s="247"/>
      <c r="BW23" s="402"/>
      <c r="BX23" s="394"/>
      <c r="BY23" s="394"/>
      <c r="BZ23" s="394"/>
      <c r="CA23" s="396"/>
      <c r="CB23" s="396"/>
      <c r="CC23" s="144"/>
      <c r="CD23" s="144"/>
      <c r="CE23" s="146"/>
      <c r="CF23" s="146"/>
      <c r="CG23" s="146"/>
      <c r="CH23" s="146"/>
      <c r="CI23" s="392"/>
      <c r="CJ23" s="392"/>
      <c r="CK23" s="392"/>
      <c r="CL23" s="146"/>
      <c r="CM23" s="146"/>
      <c r="CN23" s="146"/>
      <c r="CO23" s="146"/>
      <c r="CP23" s="146"/>
    </row>
    <row r="24" spans="1:104" s="150" customFormat="1" ht="27" customHeight="1" x14ac:dyDescent="0.2">
      <c r="A24" s="147"/>
      <c r="B24" s="147"/>
      <c r="C24" s="202" t="s">
        <v>39</v>
      </c>
      <c r="D24" s="202"/>
      <c r="E24" s="386">
        <f>【入力ｼｰﾄ】支援課提出用!E24</f>
        <v>0</v>
      </c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9"/>
      <c r="AQ24" s="180">
        <f>【入力ｼｰﾄ】支援課提出用!AQ24</f>
        <v>0</v>
      </c>
      <c r="AR24" s="181">
        <f>【入力ｼｰﾄ】支援課提出用!AR24</f>
        <v>0</v>
      </c>
      <c r="AS24" s="181">
        <f>【入力ｼｰﾄ】支援課提出用!AS24</f>
        <v>0</v>
      </c>
      <c r="AT24" s="182">
        <f>【入力ｼｰﾄ】支援課提出用!AT24</f>
        <v>0</v>
      </c>
      <c r="AU24" s="180">
        <f>【入力ｼｰﾄ】支援課提出用!AU24</f>
        <v>0</v>
      </c>
      <c r="AV24" s="182">
        <f>【入力ｼｰﾄ】支援課提出用!AV24</f>
        <v>0</v>
      </c>
      <c r="AW24" s="180">
        <f>【入力ｼｰﾄ】支援課提出用!AW24</f>
        <v>0</v>
      </c>
      <c r="AX24" s="182">
        <f>【入力ｼｰﾄ】支援課提出用!AX24</f>
        <v>0</v>
      </c>
      <c r="AY24" s="390">
        <f>【入力ｼｰﾄ】支援課提出用!AY24</f>
        <v>0</v>
      </c>
      <c r="AZ24" s="390"/>
      <c r="BA24" s="390"/>
      <c r="BB24" s="390"/>
      <c r="BC24" s="390"/>
      <c r="BD24" s="390"/>
      <c r="BE24" s="390">
        <f>【入力ｼｰﾄ】支援課提出用!BE24</f>
        <v>0</v>
      </c>
      <c r="BF24" s="390"/>
      <c r="BG24" s="390"/>
      <c r="BH24" s="390"/>
      <c r="BI24" s="390"/>
      <c r="BJ24" s="390"/>
      <c r="BK24" s="390" t="str">
        <f>【入力ｼｰﾄ】支援課提出用!BK24</f>
        <v/>
      </c>
      <c r="BL24" s="390"/>
      <c r="BM24" s="390"/>
      <c r="BN24" s="390"/>
      <c r="BO24" s="390"/>
      <c r="BP24" s="390"/>
      <c r="BQ24" s="390" t="str">
        <f>【入力ｼｰﾄ】支援課提出用!BQ24</f>
        <v/>
      </c>
      <c r="BR24" s="390"/>
      <c r="BS24" s="390"/>
      <c r="BT24" s="390"/>
      <c r="BU24" s="390"/>
      <c r="BV24" s="390"/>
      <c r="BW24" s="357">
        <f>【入力ｼｰﾄ】支援課提出用!BW24</f>
        <v>0</v>
      </c>
      <c r="BX24" s="357"/>
      <c r="BY24" s="358">
        <f>【入力ｼｰﾄ】支援課提出用!BY24</f>
        <v>0</v>
      </c>
      <c r="BZ24" s="358"/>
      <c r="CA24" s="355">
        <f>【入力ｼｰﾄ】支援課提出用!CA24</f>
        <v>0</v>
      </c>
      <c r="CB24" s="355"/>
      <c r="CC24" s="147"/>
      <c r="CD24" s="147"/>
      <c r="CE24" s="148"/>
      <c r="CF24" s="149"/>
      <c r="CG24" s="149"/>
      <c r="CH24" s="149"/>
      <c r="CI24" s="149"/>
      <c r="CJ24" s="149"/>
      <c r="CK24" s="149"/>
      <c r="CL24" s="148"/>
      <c r="CM24" s="148"/>
      <c r="CN24" s="148"/>
      <c r="CO24" s="148"/>
      <c r="CP24" s="148"/>
      <c r="CQ24" s="148"/>
      <c r="CR24" s="148"/>
      <c r="CS24" s="148"/>
    </row>
    <row r="25" spans="1:104" s="145" customFormat="1" ht="12.2" customHeight="1" x14ac:dyDescent="0.15">
      <c r="A25" s="144"/>
      <c r="B25" s="144"/>
      <c r="C25" s="367" t="s">
        <v>675</v>
      </c>
      <c r="D25" s="368"/>
      <c r="E25" s="369"/>
      <c r="F25" s="370"/>
      <c r="G25" s="372" t="s">
        <v>29</v>
      </c>
      <c r="H25" s="372"/>
      <c r="I25" s="372"/>
      <c r="J25" s="372"/>
      <c r="K25" s="372"/>
      <c r="L25" s="372"/>
      <c r="M25" s="372"/>
      <c r="N25" s="372"/>
      <c r="O25" s="372"/>
      <c r="P25" s="372"/>
      <c r="Q25" s="374" t="s">
        <v>676</v>
      </c>
      <c r="R25" s="369"/>
      <c r="S25" s="369"/>
      <c r="T25" s="370"/>
      <c r="U25" s="360" t="s">
        <v>40</v>
      </c>
      <c r="V25" s="360"/>
      <c r="W25" s="360" t="s">
        <v>679</v>
      </c>
      <c r="X25" s="360"/>
      <c r="Y25" s="360" t="s">
        <v>27</v>
      </c>
      <c r="Z25" s="360"/>
      <c r="AA25" s="360"/>
      <c r="AB25" s="212" t="s">
        <v>696</v>
      </c>
      <c r="AC25" s="213"/>
      <c r="AD25" s="375" t="s">
        <v>34</v>
      </c>
      <c r="AE25" s="376"/>
      <c r="AF25" s="376"/>
      <c r="AG25" s="376"/>
      <c r="AH25" s="376"/>
      <c r="AI25" s="376"/>
      <c r="AJ25" s="376"/>
      <c r="AK25" s="376"/>
      <c r="AL25" s="376"/>
      <c r="AM25" s="376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7"/>
      <c r="AZ25" s="377"/>
      <c r="BA25" s="377"/>
      <c r="BB25" s="377"/>
      <c r="BC25" s="377"/>
      <c r="BD25" s="377"/>
      <c r="BE25" s="377"/>
      <c r="BF25" s="377"/>
      <c r="BG25" s="377"/>
      <c r="BH25" s="377"/>
      <c r="BI25" s="378"/>
      <c r="BJ25" s="383" t="s">
        <v>30</v>
      </c>
      <c r="BK25" s="384"/>
      <c r="BL25" s="384"/>
      <c r="BM25" s="384"/>
      <c r="BN25" s="384"/>
      <c r="BO25" s="384"/>
      <c r="BP25" s="384"/>
      <c r="BQ25" s="385"/>
      <c r="BR25" s="151"/>
      <c r="BS25" s="151"/>
      <c r="BT25" s="151"/>
      <c r="BU25" s="151"/>
      <c r="BV25" s="151"/>
      <c r="BW25" s="152"/>
      <c r="BX25" s="152"/>
      <c r="BY25" s="152"/>
      <c r="BZ25" s="152"/>
      <c r="CA25" s="151"/>
      <c r="CB25" s="151"/>
      <c r="CC25" s="151"/>
      <c r="CD25" s="151"/>
    </row>
    <row r="26" spans="1:104" s="145" customFormat="1" ht="12.2" customHeight="1" x14ac:dyDescent="0.15">
      <c r="A26" s="144"/>
      <c r="B26" s="144"/>
      <c r="C26" s="371"/>
      <c r="D26" s="369"/>
      <c r="E26" s="369"/>
      <c r="F26" s="370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1"/>
      <c r="R26" s="369"/>
      <c r="S26" s="369"/>
      <c r="T26" s="370"/>
      <c r="U26" s="360"/>
      <c r="V26" s="360"/>
      <c r="W26" s="360"/>
      <c r="X26" s="360"/>
      <c r="Y26" s="360"/>
      <c r="Z26" s="360"/>
      <c r="AA26" s="360"/>
      <c r="AB26" s="214"/>
      <c r="AC26" s="215"/>
      <c r="AD26" s="379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8"/>
      <c r="BJ26" s="359" t="s">
        <v>703</v>
      </c>
      <c r="BK26" s="359"/>
      <c r="BL26" s="359"/>
      <c r="BM26" s="359"/>
      <c r="BN26" s="359" t="s">
        <v>704</v>
      </c>
      <c r="BO26" s="359"/>
      <c r="BP26" s="359"/>
      <c r="BQ26" s="359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</row>
    <row r="27" spans="1:104" s="145" customFormat="1" ht="12.2" customHeight="1" x14ac:dyDescent="0.15">
      <c r="A27" s="144"/>
      <c r="B27" s="144"/>
      <c r="C27" s="364" t="s">
        <v>9</v>
      </c>
      <c r="D27" s="365"/>
      <c r="E27" s="365"/>
      <c r="F27" s="366"/>
      <c r="G27" s="363" t="s">
        <v>10</v>
      </c>
      <c r="H27" s="363"/>
      <c r="I27" s="363"/>
      <c r="J27" s="363"/>
      <c r="K27" s="363"/>
      <c r="L27" s="363" t="s">
        <v>11</v>
      </c>
      <c r="M27" s="363"/>
      <c r="N27" s="363"/>
      <c r="O27" s="363"/>
      <c r="P27" s="363"/>
      <c r="Q27" s="364" t="s">
        <v>9</v>
      </c>
      <c r="R27" s="365"/>
      <c r="S27" s="365"/>
      <c r="T27" s="366"/>
      <c r="U27" s="360"/>
      <c r="V27" s="360"/>
      <c r="W27" s="360"/>
      <c r="X27" s="360"/>
      <c r="Y27" s="360"/>
      <c r="Z27" s="360"/>
      <c r="AA27" s="360"/>
      <c r="AB27" s="216"/>
      <c r="AC27" s="217"/>
      <c r="AD27" s="380"/>
      <c r="AE27" s="381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  <c r="BI27" s="382"/>
      <c r="BJ27" s="359" t="s">
        <v>3</v>
      </c>
      <c r="BK27" s="359"/>
      <c r="BL27" s="359" t="s">
        <v>4</v>
      </c>
      <c r="BM27" s="359"/>
      <c r="BN27" s="359" t="s">
        <v>3</v>
      </c>
      <c r="BO27" s="359"/>
      <c r="BP27" s="359" t="s">
        <v>4</v>
      </c>
      <c r="BQ27" s="359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</row>
    <row r="28" spans="1:104" s="145" customFormat="1" ht="27" customHeight="1" x14ac:dyDescent="0.15">
      <c r="A28" s="144"/>
      <c r="B28" s="144"/>
      <c r="C28" s="361">
        <f>【入力ｼｰﾄ】支援課提出用!C28</f>
        <v>0</v>
      </c>
      <c r="D28" s="361"/>
      <c r="E28" s="361"/>
      <c r="F28" s="361"/>
      <c r="G28" s="361">
        <f>【入力ｼｰﾄ】支援課提出用!G28</f>
        <v>0</v>
      </c>
      <c r="H28" s="361"/>
      <c r="I28" s="361"/>
      <c r="J28" s="361"/>
      <c r="K28" s="361"/>
      <c r="L28" s="361">
        <f>【入力ｼｰﾄ】支援課提出用!L28</f>
        <v>0</v>
      </c>
      <c r="M28" s="361"/>
      <c r="N28" s="361"/>
      <c r="O28" s="361"/>
      <c r="P28" s="361"/>
      <c r="Q28" s="361">
        <f>【入力ｼｰﾄ】支援課提出用!Q28</f>
        <v>0</v>
      </c>
      <c r="R28" s="361"/>
      <c r="S28" s="361"/>
      <c r="T28" s="361"/>
      <c r="U28" s="362">
        <f>【入力ｼｰﾄ】支援課提出用!U28</f>
        <v>0</v>
      </c>
      <c r="V28" s="362"/>
      <c r="W28" s="362">
        <f>【入力ｼｰﾄ】支援課提出用!W28</f>
        <v>0</v>
      </c>
      <c r="X28" s="362"/>
      <c r="Y28" s="362">
        <f>【入力ｼｰﾄ】支援課提出用!Y28</f>
        <v>0</v>
      </c>
      <c r="Z28" s="362"/>
      <c r="AA28" s="362"/>
      <c r="AB28" s="355">
        <f>【入力ｼｰﾄ】支援課提出用!AB28</f>
        <v>0</v>
      </c>
      <c r="AC28" s="355"/>
      <c r="AD28" s="356">
        <f>【入力ｼｰﾄ】支援課提出用!AD28</f>
        <v>0</v>
      </c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  <c r="BI28" s="356"/>
      <c r="BJ28" s="357">
        <f>【入力ｼｰﾄ】支援課提出用!BJ28</f>
        <v>0</v>
      </c>
      <c r="BK28" s="357"/>
      <c r="BL28" s="358">
        <v>20</v>
      </c>
      <c r="BM28" s="358"/>
      <c r="BN28" s="357">
        <f>【入力ｼｰﾄ】支援課提出用!BN28</f>
        <v>0</v>
      </c>
      <c r="BO28" s="357"/>
      <c r="BP28" s="358">
        <v>20</v>
      </c>
      <c r="BQ28" s="358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</row>
    <row r="29" spans="1:104" ht="15" customHeight="1" x14ac:dyDescent="0.15">
      <c r="A29" s="118"/>
      <c r="B29" s="118"/>
      <c r="C29" s="118"/>
      <c r="D29" s="118"/>
      <c r="E29" s="118"/>
      <c r="F29" s="118"/>
      <c r="G29" s="118"/>
      <c r="H29" s="120"/>
      <c r="I29" s="118"/>
      <c r="J29" s="118"/>
      <c r="K29" s="118"/>
      <c r="L29" s="118"/>
      <c r="M29" s="118"/>
      <c r="N29" s="173" t="s">
        <v>792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20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</row>
    <row r="30" spans="1:104" s="145" customFormat="1" ht="12.75" customHeight="1" x14ac:dyDescent="0.15">
      <c r="A30" s="144"/>
      <c r="B30" s="144"/>
      <c r="C30" s="373" t="s">
        <v>41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 t="s">
        <v>5</v>
      </c>
      <c r="AR30" s="373"/>
      <c r="AS30" s="373"/>
      <c r="AT30" s="373"/>
      <c r="AU30" s="373"/>
      <c r="AV30" s="373"/>
      <c r="AW30" s="373"/>
      <c r="AX30" s="403"/>
      <c r="AY30" s="404" t="s">
        <v>28</v>
      </c>
      <c r="AZ30" s="405"/>
      <c r="BA30" s="405"/>
      <c r="BB30" s="405"/>
      <c r="BC30" s="405"/>
      <c r="BD30" s="406"/>
      <c r="BE30" s="404" t="s">
        <v>6</v>
      </c>
      <c r="BF30" s="405"/>
      <c r="BG30" s="405"/>
      <c r="BH30" s="405"/>
      <c r="BI30" s="405"/>
      <c r="BJ30" s="406"/>
      <c r="BK30" s="403" t="s">
        <v>31</v>
      </c>
      <c r="BL30" s="410"/>
      <c r="BM30" s="410"/>
      <c r="BN30" s="410"/>
      <c r="BO30" s="410"/>
      <c r="BP30" s="410"/>
      <c r="BQ30" s="410"/>
      <c r="BR30" s="410"/>
      <c r="BS30" s="410"/>
      <c r="BT30" s="410"/>
      <c r="BU30" s="410"/>
      <c r="BV30" s="411"/>
      <c r="BW30" s="393" t="s">
        <v>1</v>
      </c>
      <c r="BX30" s="393"/>
      <c r="BY30" s="393" t="s">
        <v>2</v>
      </c>
      <c r="BZ30" s="393"/>
      <c r="CA30" s="395" t="s">
        <v>701</v>
      </c>
      <c r="CB30" s="395"/>
      <c r="CC30" s="144"/>
      <c r="CD30" s="144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</row>
    <row r="31" spans="1:104" s="145" customFormat="1" ht="12.75" customHeight="1" x14ac:dyDescent="0.15">
      <c r="A31" s="144"/>
      <c r="B31" s="144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403"/>
      <c r="AY31" s="407"/>
      <c r="AZ31" s="408"/>
      <c r="BA31" s="408"/>
      <c r="BB31" s="408"/>
      <c r="BC31" s="408"/>
      <c r="BD31" s="409"/>
      <c r="BE31" s="407"/>
      <c r="BF31" s="408"/>
      <c r="BG31" s="408"/>
      <c r="BH31" s="408"/>
      <c r="BI31" s="408"/>
      <c r="BJ31" s="408"/>
      <c r="BK31" s="265" t="s">
        <v>697</v>
      </c>
      <c r="BL31" s="266"/>
      <c r="BM31" s="266"/>
      <c r="BN31" s="266"/>
      <c r="BO31" s="266"/>
      <c r="BP31" s="267"/>
      <c r="BQ31" s="265" t="s">
        <v>698</v>
      </c>
      <c r="BR31" s="266"/>
      <c r="BS31" s="266"/>
      <c r="BT31" s="266"/>
      <c r="BU31" s="266"/>
      <c r="BV31" s="267"/>
      <c r="BW31" s="401"/>
      <c r="BX31" s="393"/>
      <c r="BY31" s="393"/>
      <c r="BZ31" s="393"/>
      <c r="CA31" s="395"/>
      <c r="CB31" s="395"/>
      <c r="CC31" s="144"/>
      <c r="CD31" s="144"/>
      <c r="CE31" s="146"/>
      <c r="CF31" s="146"/>
      <c r="CG31" s="146"/>
      <c r="CH31" s="146"/>
      <c r="CI31" s="391"/>
      <c r="CJ31" s="392"/>
      <c r="CK31" s="392"/>
      <c r="CL31" s="146"/>
      <c r="CM31" s="146"/>
      <c r="CN31" s="146"/>
      <c r="CO31" s="146"/>
      <c r="CP31" s="146"/>
    </row>
    <row r="32" spans="1:104" s="145" customFormat="1" ht="18" customHeight="1" x14ac:dyDescent="0.15">
      <c r="A32" s="144"/>
      <c r="B32" s="144"/>
      <c r="C32" s="202" t="s">
        <v>38</v>
      </c>
      <c r="D32" s="202"/>
      <c r="E32" s="397">
        <f>【入力ｼｰﾄ】支援課提出用!E32</f>
        <v>0</v>
      </c>
      <c r="F32" s="398"/>
      <c r="G32" s="399">
        <f>【入力ｼｰﾄ】支援課提出用!G32</f>
        <v>0</v>
      </c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400"/>
      <c r="AQ32" s="373" t="s">
        <v>42</v>
      </c>
      <c r="AR32" s="373"/>
      <c r="AS32" s="373"/>
      <c r="AT32" s="373"/>
      <c r="AU32" s="373" t="s">
        <v>7</v>
      </c>
      <c r="AV32" s="373"/>
      <c r="AW32" s="373" t="s">
        <v>4</v>
      </c>
      <c r="AX32" s="373"/>
      <c r="AY32" s="380" t="s">
        <v>8</v>
      </c>
      <c r="AZ32" s="381"/>
      <c r="BA32" s="381"/>
      <c r="BB32" s="381"/>
      <c r="BC32" s="381"/>
      <c r="BD32" s="382"/>
      <c r="BE32" s="380" t="s">
        <v>8</v>
      </c>
      <c r="BF32" s="381"/>
      <c r="BG32" s="381"/>
      <c r="BH32" s="381"/>
      <c r="BI32" s="381"/>
      <c r="BJ32" s="381"/>
      <c r="BK32" s="335"/>
      <c r="BL32" s="336"/>
      <c r="BM32" s="336"/>
      <c r="BN32" s="336"/>
      <c r="BO32" s="336"/>
      <c r="BP32" s="337"/>
      <c r="BQ32" s="335"/>
      <c r="BR32" s="336"/>
      <c r="BS32" s="336"/>
      <c r="BT32" s="336"/>
      <c r="BU32" s="336"/>
      <c r="BV32" s="337"/>
      <c r="BW32" s="401"/>
      <c r="BX32" s="393"/>
      <c r="BY32" s="393"/>
      <c r="BZ32" s="393"/>
      <c r="CA32" s="395"/>
      <c r="CB32" s="395"/>
      <c r="CC32" s="144"/>
      <c r="CD32" s="144"/>
      <c r="CE32" s="146"/>
      <c r="CF32" s="146"/>
      <c r="CG32" s="146"/>
      <c r="CH32" s="146"/>
      <c r="CI32" s="392"/>
      <c r="CJ32" s="392"/>
      <c r="CK32" s="392"/>
      <c r="CL32" s="146"/>
      <c r="CM32" s="146"/>
      <c r="CN32" s="146"/>
      <c r="CO32" s="146"/>
      <c r="CP32" s="146"/>
    </row>
    <row r="33" spans="1:97" s="150" customFormat="1" ht="27" customHeight="1" x14ac:dyDescent="0.2">
      <c r="A33" s="147"/>
      <c r="B33" s="147"/>
      <c r="C33" s="202" t="s">
        <v>39</v>
      </c>
      <c r="D33" s="202"/>
      <c r="E33" s="386">
        <f>【入力ｼｰﾄ】支援課提出用!E33</f>
        <v>0</v>
      </c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389"/>
      <c r="AQ33" s="180">
        <f>【入力ｼｰﾄ】支援課提出用!AQ33</f>
        <v>0</v>
      </c>
      <c r="AR33" s="181">
        <f>【入力ｼｰﾄ】支援課提出用!AR33</f>
        <v>0</v>
      </c>
      <c r="AS33" s="181">
        <f>【入力ｼｰﾄ】支援課提出用!AS33</f>
        <v>0</v>
      </c>
      <c r="AT33" s="182">
        <f>【入力ｼｰﾄ】支援課提出用!AT33</f>
        <v>0</v>
      </c>
      <c r="AU33" s="180">
        <f>【入力ｼｰﾄ】支援課提出用!AU33</f>
        <v>0</v>
      </c>
      <c r="AV33" s="182">
        <f>【入力ｼｰﾄ】支援課提出用!AV33</f>
        <v>0</v>
      </c>
      <c r="AW33" s="180">
        <f>【入力ｼｰﾄ】支援課提出用!AW33</f>
        <v>0</v>
      </c>
      <c r="AX33" s="182">
        <f>【入力ｼｰﾄ】支援課提出用!AX33</f>
        <v>0</v>
      </c>
      <c r="AY33" s="390">
        <f>【入力ｼｰﾄ】支援課提出用!AY33:BD33</f>
        <v>0</v>
      </c>
      <c r="AZ33" s="390"/>
      <c r="BA33" s="390"/>
      <c r="BB33" s="390"/>
      <c r="BC33" s="390"/>
      <c r="BD33" s="390"/>
      <c r="BE33" s="390">
        <f>【入力ｼｰﾄ】支援課提出用!BE33:BJ33</f>
        <v>0</v>
      </c>
      <c r="BF33" s="390"/>
      <c r="BG33" s="390"/>
      <c r="BH33" s="390"/>
      <c r="BI33" s="390"/>
      <c r="BJ33" s="390"/>
      <c r="BK33" s="390" t="str">
        <f>【入力ｼｰﾄ】支援課提出用!BK33:BP33</f>
        <v/>
      </c>
      <c r="BL33" s="390"/>
      <c r="BM33" s="390"/>
      <c r="BN33" s="390"/>
      <c r="BO33" s="390"/>
      <c r="BP33" s="390"/>
      <c r="BQ33" s="390" t="str">
        <f>【入力ｼｰﾄ】支援課提出用!BQ33:BV33</f>
        <v/>
      </c>
      <c r="BR33" s="390"/>
      <c r="BS33" s="390"/>
      <c r="BT33" s="390"/>
      <c r="BU33" s="390"/>
      <c r="BV33" s="390"/>
      <c r="BW33" s="357">
        <f>【入力ｼｰﾄ】支援課提出用!BW33:BX33</f>
        <v>0</v>
      </c>
      <c r="BX33" s="357"/>
      <c r="BY33" s="358">
        <f>【入力ｼｰﾄ】支援課提出用!BY33:BZ33</f>
        <v>0</v>
      </c>
      <c r="BZ33" s="358"/>
      <c r="CA33" s="355">
        <f>【入力ｼｰﾄ】支援課提出用!CA33:CB33</f>
        <v>0</v>
      </c>
      <c r="CB33" s="355"/>
      <c r="CC33" s="147"/>
      <c r="CD33" s="147"/>
      <c r="CE33" s="148"/>
      <c r="CF33" s="149"/>
      <c r="CG33" s="149"/>
      <c r="CH33" s="149"/>
      <c r="CI33" s="149"/>
      <c r="CJ33" s="149"/>
      <c r="CK33" s="149"/>
      <c r="CL33" s="148"/>
      <c r="CM33" s="148"/>
      <c r="CN33" s="148"/>
      <c r="CO33" s="148"/>
      <c r="CP33" s="148"/>
      <c r="CQ33" s="148"/>
      <c r="CR33" s="148"/>
      <c r="CS33" s="148"/>
    </row>
    <row r="34" spans="1:97" s="145" customFormat="1" ht="12.2" customHeight="1" x14ac:dyDescent="0.15">
      <c r="A34" s="144"/>
      <c r="B34" s="144"/>
      <c r="C34" s="367" t="s">
        <v>675</v>
      </c>
      <c r="D34" s="368"/>
      <c r="E34" s="369"/>
      <c r="F34" s="370"/>
      <c r="G34" s="372" t="s">
        <v>29</v>
      </c>
      <c r="H34" s="372"/>
      <c r="I34" s="372"/>
      <c r="J34" s="372"/>
      <c r="K34" s="372"/>
      <c r="L34" s="372"/>
      <c r="M34" s="372"/>
      <c r="N34" s="372"/>
      <c r="O34" s="372"/>
      <c r="P34" s="372"/>
      <c r="Q34" s="374" t="s">
        <v>676</v>
      </c>
      <c r="R34" s="369"/>
      <c r="S34" s="369"/>
      <c r="T34" s="370"/>
      <c r="U34" s="360" t="s">
        <v>40</v>
      </c>
      <c r="V34" s="360"/>
      <c r="W34" s="360" t="s">
        <v>679</v>
      </c>
      <c r="X34" s="360"/>
      <c r="Y34" s="360" t="s">
        <v>27</v>
      </c>
      <c r="Z34" s="360"/>
      <c r="AA34" s="360"/>
      <c r="AB34" s="212" t="s">
        <v>696</v>
      </c>
      <c r="AC34" s="213"/>
      <c r="AD34" s="375" t="s">
        <v>34</v>
      </c>
      <c r="AE34" s="376"/>
      <c r="AF34" s="376"/>
      <c r="AG34" s="376"/>
      <c r="AH34" s="376"/>
      <c r="AI34" s="376"/>
      <c r="AJ34" s="376"/>
      <c r="AK34" s="376"/>
      <c r="AL34" s="376"/>
      <c r="AM34" s="376"/>
      <c r="AN34" s="376"/>
      <c r="AO34" s="376"/>
      <c r="AP34" s="376"/>
      <c r="AQ34" s="376"/>
      <c r="AR34" s="376"/>
      <c r="AS34" s="376"/>
      <c r="AT34" s="376"/>
      <c r="AU34" s="376"/>
      <c r="AV34" s="376"/>
      <c r="AW34" s="376"/>
      <c r="AX34" s="376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8"/>
      <c r="BJ34" s="383" t="s">
        <v>30</v>
      </c>
      <c r="BK34" s="384"/>
      <c r="BL34" s="384"/>
      <c r="BM34" s="384"/>
      <c r="BN34" s="384"/>
      <c r="BO34" s="384"/>
      <c r="BP34" s="384"/>
      <c r="BQ34" s="385"/>
      <c r="BR34" s="151"/>
      <c r="BS34" s="151"/>
      <c r="BT34" s="151"/>
      <c r="BU34" s="151"/>
      <c r="BV34" s="151"/>
      <c r="BW34" s="152"/>
      <c r="BX34" s="152"/>
      <c r="BY34" s="152"/>
      <c r="BZ34" s="152"/>
      <c r="CA34" s="151"/>
      <c r="CB34" s="151"/>
      <c r="CC34" s="151"/>
      <c r="CD34" s="151"/>
    </row>
    <row r="35" spans="1:97" s="145" customFormat="1" ht="12.2" customHeight="1" x14ac:dyDescent="0.15">
      <c r="A35" s="144"/>
      <c r="B35" s="144"/>
      <c r="C35" s="371"/>
      <c r="D35" s="369"/>
      <c r="E35" s="369"/>
      <c r="F35" s="370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1"/>
      <c r="R35" s="369"/>
      <c r="S35" s="369"/>
      <c r="T35" s="370"/>
      <c r="U35" s="360"/>
      <c r="V35" s="360"/>
      <c r="W35" s="360"/>
      <c r="X35" s="360"/>
      <c r="Y35" s="360"/>
      <c r="Z35" s="360"/>
      <c r="AA35" s="360"/>
      <c r="AB35" s="214"/>
      <c r="AC35" s="215"/>
      <c r="AD35" s="379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8"/>
      <c r="BJ35" s="359" t="s">
        <v>703</v>
      </c>
      <c r="BK35" s="359"/>
      <c r="BL35" s="359"/>
      <c r="BM35" s="359"/>
      <c r="BN35" s="359" t="s">
        <v>704</v>
      </c>
      <c r="BO35" s="359"/>
      <c r="BP35" s="359"/>
      <c r="BQ35" s="359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</row>
    <row r="36" spans="1:97" s="145" customFormat="1" ht="12.2" customHeight="1" x14ac:dyDescent="0.15">
      <c r="A36" s="144"/>
      <c r="B36" s="144"/>
      <c r="C36" s="364" t="s">
        <v>9</v>
      </c>
      <c r="D36" s="365"/>
      <c r="E36" s="365"/>
      <c r="F36" s="366"/>
      <c r="G36" s="363" t="s">
        <v>10</v>
      </c>
      <c r="H36" s="363"/>
      <c r="I36" s="363"/>
      <c r="J36" s="363"/>
      <c r="K36" s="363"/>
      <c r="L36" s="363" t="s">
        <v>11</v>
      </c>
      <c r="M36" s="363"/>
      <c r="N36" s="363"/>
      <c r="O36" s="363"/>
      <c r="P36" s="363"/>
      <c r="Q36" s="364" t="s">
        <v>9</v>
      </c>
      <c r="R36" s="365"/>
      <c r="S36" s="365"/>
      <c r="T36" s="366"/>
      <c r="U36" s="360"/>
      <c r="V36" s="360"/>
      <c r="W36" s="360"/>
      <c r="X36" s="360"/>
      <c r="Y36" s="360"/>
      <c r="Z36" s="360"/>
      <c r="AA36" s="360"/>
      <c r="AB36" s="216"/>
      <c r="AC36" s="217"/>
      <c r="AD36" s="380"/>
      <c r="AE36" s="381"/>
      <c r="AF36" s="381"/>
      <c r="AG36" s="381"/>
      <c r="AH36" s="381"/>
      <c r="AI36" s="381"/>
      <c r="AJ36" s="381"/>
      <c r="AK36" s="381"/>
      <c r="AL36" s="381"/>
      <c r="AM36" s="381"/>
      <c r="AN36" s="381"/>
      <c r="AO36" s="381"/>
      <c r="AP36" s="381"/>
      <c r="AQ36" s="381"/>
      <c r="AR36" s="381"/>
      <c r="AS36" s="381"/>
      <c r="AT36" s="381"/>
      <c r="AU36" s="381"/>
      <c r="AV36" s="381"/>
      <c r="AW36" s="381"/>
      <c r="AX36" s="381"/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  <c r="BI36" s="382"/>
      <c r="BJ36" s="359" t="s">
        <v>3</v>
      </c>
      <c r="BK36" s="359"/>
      <c r="BL36" s="359" t="s">
        <v>4</v>
      </c>
      <c r="BM36" s="359"/>
      <c r="BN36" s="359" t="s">
        <v>3</v>
      </c>
      <c r="BO36" s="359"/>
      <c r="BP36" s="359" t="s">
        <v>4</v>
      </c>
      <c r="BQ36" s="359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</row>
    <row r="37" spans="1:97" s="145" customFormat="1" ht="27" customHeight="1" x14ac:dyDescent="0.15">
      <c r="A37" s="144"/>
      <c r="B37" s="144"/>
      <c r="C37" s="361">
        <f>【入力ｼｰﾄ】支援課提出用!C37</f>
        <v>0</v>
      </c>
      <c r="D37" s="361"/>
      <c r="E37" s="361"/>
      <c r="F37" s="361"/>
      <c r="G37" s="361">
        <f>【入力ｼｰﾄ】支援課提出用!G37</f>
        <v>0</v>
      </c>
      <c r="H37" s="361"/>
      <c r="I37" s="361"/>
      <c r="J37" s="361"/>
      <c r="K37" s="361"/>
      <c r="L37" s="361">
        <f>【入力ｼｰﾄ】支援課提出用!L37</f>
        <v>0</v>
      </c>
      <c r="M37" s="361"/>
      <c r="N37" s="361"/>
      <c r="O37" s="361"/>
      <c r="P37" s="361"/>
      <c r="Q37" s="361">
        <f>【入力ｼｰﾄ】支援課提出用!Q37</f>
        <v>0</v>
      </c>
      <c r="R37" s="361"/>
      <c r="S37" s="361"/>
      <c r="T37" s="361"/>
      <c r="U37" s="362">
        <f>【入力ｼｰﾄ】支援課提出用!U37</f>
        <v>0</v>
      </c>
      <c r="V37" s="362"/>
      <c r="W37" s="362">
        <f>【入力ｼｰﾄ】支援課提出用!W37</f>
        <v>0</v>
      </c>
      <c r="X37" s="362"/>
      <c r="Y37" s="362">
        <f>【入力ｼｰﾄ】支援課提出用!Y37</f>
        <v>0</v>
      </c>
      <c r="Z37" s="362"/>
      <c r="AA37" s="362"/>
      <c r="AB37" s="355">
        <f>【入力ｼｰﾄ】支援課提出用!AB37</f>
        <v>0</v>
      </c>
      <c r="AC37" s="355"/>
      <c r="AD37" s="356">
        <f>【入力ｼｰﾄ】支援課提出用!AD37</f>
        <v>0</v>
      </c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6"/>
      <c r="BJ37" s="357">
        <f>【入力ｼｰﾄ】支援課提出用!BJ37</f>
        <v>0</v>
      </c>
      <c r="BK37" s="357"/>
      <c r="BL37" s="358">
        <v>20</v>
      </c>
      <c r="BM37" s="358"/>
      <c r="BN37" s="357">
        <f>【入力ｼｰﾄ】支援課提出用!BN37</f>
        <v>0</v>
      </c>
      <c r="BO37" s="357"/>
      <c r="BP37" s="358">
        <v>20</v>
      </c>
      <c r="BQ37" s="358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</row>
    <row r="38" spans="1:97" s="87" customFormat="1" ht="27" customHeight="1" x14ac:dyDescent="0.2">
      <c r="A38" s="140"/>
      <c r="B38" s="140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174" t="s">
        <v>792</v>
      </c>
      <c r="O38" s="93"/>
      <c r="P38" s="93"/>
      <c r="Q38" s="93"/>
      <c r="R38" s="93"/>
      <c r="S38" s="93"/>
      <c r="T38" s="93"/>
      <c r="U38" s="130"/>
      <c r="V38" s="130"/>
      <c r="W38" s="131"/>
      <c r="X38" s="131"/>
      <c r="Y38" s="130"/>
      <c r="Z38" s="130"/>
      <c r="AA38" s="130"/>
      <c r="AB38" s="131"/>
      <c r="AC38" s="131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3"/>
      <c r="BK38" s="164"/>
      <c r="BL38" s="163"/>
      <c r="BM38" s="164"/>
      <c r="BN38" s="163"/>
      <c r="BO38" s="164"/>
      <c r="BP38" s="163"/>
      <c r="BQ38" s="164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</row>
    <row r="39" spans="1:97" ht="5.25" customHeight="1" thickBot="1" x14ac:dyDescent="0.2"/>
    <row r="40" spans="1:97" ht="20.100000000000001" customHeight="1" x14ac:dyDescent="0.15">
      <c r="C40" s="253" t="s">
        <v>678</v>
      </c>
      <c r="D40" s="254"/>
      <c r="E40" s="254"/>
      <c r="F40" s="254"/>
      <c r="G40" s="254"/>
      <c r="H40" s="254"/>
      <c r="I40" s="254"/>
      <c r="J40" s="255"/>
      <c r="BR40" s="329" t="s">
        <v>12</v>
      </c>
      <c r="BS40" s="330"/>
      <c r="BT40" s="331"/>
      <c r="BU40" s="98"/>
      <c r="BV40" s="354"/>
      <c r="BW40" s="354"/>
      <c r="BX40" s="354"/>
      <c r="BY40" s="98"/>
      <c r="BZ40" s="354"/>
      <c r="CA40" s="354"/>
      <c r="CB40" s="354"/>
    </row>
    <row r="41" spans="1:97" ht="20.100000000000001" customHeight="1" thickBot="1" x14ac:dyDescent="0.2">
      <c r="C41" s="256"/>
      <c r="D41" s="257"/>
      <c r="E41" s="257"/>
      <c r="F41" s="257"/>
      <c r="G41" s="257"/>
      <c r="H41" s="257"/>
      <c r="I41" s="257"/>
      <c r="J41" s="258"/>
      <c r="BR41" s="324" t="s">
        <v>702</v>
      </c>
      <c r="BS41" s="325"/>
      <c r="BT41" s="326"/>
      <c r="BU41" s="98"/>
      <c r="BV41" s="354"/>
      <c r="BW41" s="354"/>
      <c r="BX41" s="354"/>
      <c r="BY41" s="98"/>
      <c r="BZ41" s="354"/>
      <c r="CA41" s="354"/>
      <c r="CB41" s="354"/>
    </row>
    <row r="42" spans="1:97" ht="20.100000000000001" customHeight="1" x14ac:dyDescent="0.15">
      <c r="BR42" s="344">
        <f>【入力ｼｰﾄ】支援課提出用!BR42</f>
        <v>0</v>
      </c>
      <c r="BS42" s="345"/>
      <c r="BT42" s="346"/>
      <c r="BU42" s="99"/>
      <c r="BV42" s="350"/>
      <c r="BW42" s="351"/>
      <c r="BX42" s="351"/>
      <c r="BY42" s="99"/>
      <c r="BZ42" s="350"/>
      <c r="CA42" s="351"/>
      <c r="CB42" s="351"/>
    </row>
    <row r="43" spans="1:97" ht="20.100000000000001" customHeight="1" x14ac:dyDescent="0.15">
      <c r="BR43" s="347"/>
      <c r="BS43" s="348"/>
      <c r="BT43" s="349"/>
      <c r="BV43" s="351"/>
      <c r="BW43" s="351"/>
      <c r="BX43" s="351"/>
      <c r="BZ43" s="351"/>
      <c r="CA43" s="351"/>
      <c r="CB43" s="351"/>
    </row>
  </sheetData>
  <sheetProtection sheet="1" selectLockedCells="1"/>
  <mergeCells count="222">
    <mergeCell ref="A6:A12"/>
    <mergeCell ref="C6:F6"/>
    <mergeCell ref="C12:AP13"/>
    <mergeCell ref="I8:K9"/>
    <mergeCell ref="G6:H7"/>
    <mergeCell ref="P6:Q6"/>
    <mergeCell ref="R8:AZ9"/>
    <mergeCell ref="C7:F7"/>
    <mergeCell ref="I7:K7"/>
    <mergeCell ref="P7:Q7"/>
    <mergeCell ref="P8:Q9"/>
    <mergeCell ref="I6:K6"/>
    <mergeCell ref="C8:F9"/>
    <mergeCell ref="L6:O6"/>
    <mergeCell ref="L7:O7"/>
    <mergeCell ref="L8:O9"/>
    <mergeCell ref="A1:H1"/>
    <mergeCell ref="AC1:BC2"/>
    <mergeCell ref="CG3:CI3"/>
    <mergeCell ref="CJ3:CL3"/>
    <mergeCell ref="BC5:BD5"/>
    <mergeCell ref="BE5:BZ5"/>
    <mergeCell ref="BR1:BX1"/>
    <mergeCell ref="BZ1:CB1"/>
    <mergeCell ref="BU2:BV2"/>
    <mergeCell ref="BX2:BY2"/>
    <mergeCell ref="CA2:CB2"/>
    <mergeCell ref="CI13:CK14"/>
    <mergeCell ref="BY12:BZ14"/>
    <mergeCell ref="G8:H9"/>
    <mergeCell ref="BC7:BD7"/>
    <mergeCell ref="BE7:CA7"/>
    <mergeCell ref="AQ12:AX13"/>
    <mergeCell ref="AY12:BD13"/>
    <mergeCell ref="BE12:BJ13"/>
    <mergeCell ref="BX9:BY9"/>
    <mergeCell ref="C14:D14"/>
    <mergeCell ref="E14:F14"/>
    <mergeCell ref="G14:AP14"/>
    <mergeCell ref="AQ14:AT14"/>
    <mergeCell ref="AW14:AX14"/>
    <mergeCell ref="BK12:BV12"/>
    <mergeCell ref="AU14:AV14"/>
    <mergeCell ref="CA12:CB14"/>
    <mergeCell ref="BW12:BX14"/>
    <mergeCell ref="AY14:BD14"/>
    <mergeCell ref="BE14:BJ14"/>
    <mergeCell ref="BK13:BP14"/>
    <mergeCell ref="BQ13:BV14"/>
    <mergeCell ref="BW15:BX15"/>
    <mergeCell ref="BY15:BZ15"/>
    <mergeCell ref="CA15:CB15"/>
    <mergeCell ref="C16:F17"/>
    <mergeCell ref="G16:P17"/>
    <mergeCell ref="Q16:T17"/>
    <mergeCell ref="AB16:AC18"/>
    <mergeCell ref="AD16:BI18"/>
    <mergeCell ref="BJ16:BQ16"/>
    <mergeCell ref="BJ17:BM17"/>
    <mergeCell ref="C15:D15"/>
    <mergeCell ref="E15:AP15"/>
    <mergeCell ref="AY15:BD15"/>
    <mergeCell ref="BE15:BJ15"/>
    <mergeCell ref="BK15:BP15"/>
    <mergeCell ref="BQ15:BV15"/>
    <mergeCell ref="BN17:BQ17"/>
    <mergeCell ref="BN18:BO18"/>
    <mergeCell ref="BN19:BO19"/>
    <mergeCell ref="BP19:BQ19"/>
    <mergeCell ref="C19:F19"/>
    <mergeCell ref="G19:K19"/>
    <mergeCell ref="L19:P19"/>
    <mergeCell ref="Q19:T19"/>
    <mergeCell ref="U19:V19"/>
    <mergeCell ref="W19:X19"/>
    <mergeCell ref="C18:F18"/>
    <mergeCell ref="G18:K18"/>
    <mergeCell ref="L18:P18"/>
    <mergeCell ref="Q18:T18"/>
    <mergeCell ref="BJ18:BK18"/>
    <mergeCell ref="BL18:BM18"/>
    <mergeCell ref="CI22:CK23"/>
    <mergeCell ref="C23:D23"/>
    <mergeCell ref="E23:F23"/>
    <mergeCell ref="G23:AP23"/>
    <mergeCell ref="AQ23:AT23"/>
    <mergeCell ref="AU23:AV23"/>
    <mergeCell ref="BW21:BX23"/>
    <mergeCell ref="AW23:AX23"/>
    <mergeCell ref="AY23:BD23"/>
    <mergeCell ref="BE23:BJ23"/>
    <mergeCell ref="BY21:BZ23"/>
    <mergeCell ref="CA21:CB23"/>
    <mergeCell ref="C21:AP22"/>
    <mergeCell ref="AQ21:AX22"/>
    <mergeCell ref="AY21:BD22"/>
    <mergeCell ref="BE21:BJ22"/>
    <mergeCell ref="BK21:BV21"/>
    <mergeCell ref="BK22:BP23"/>
    <mergeCell ref="BQ22:BV23"/>
    <mergeCell ref="BW24:BX24"/>
    <mergeCell ref="BY24:BZ24"/>
    <mergeCell ref="CA24:CB24"/>
    <mergeCell ref="C25:F26"/>
    <mergeCell ref="G25:P26"/>
    <mergeCell ref="Q25:T26"/>
    <mergeCell ref="AB25:AC27"/>
    <mergeCell ref="AD25:BI27"/>
    <mergeCell ref="BJ25:BQ25"/>
    <mergeCell ref="BJ26:BM26"/>
    <mergeCell ref="C24:D24"/>
    <mergeCell ref="E24:AP24"/>
    <mergeCell ref="AY24:BD24"/>
    <mergeCell ref="BE24:BJ24"/>
    <mergeCell ref="BK24:BP24"/>
    <mergeCell ref="BQ24:BV24"/>
    <mergeCell ref="C28:F28"/>
    <mergeCell ref="G28:K28"/>
    <mergeCell ref="L28:P28"/>
    <mergeCell ref="Q28:T28"/>
    <mergeCell ref="U28:V28"/>
    <mergeCell ref="W28:X28"/>
    <mergeCell ref="BN26:BQ26"/>
    <mergeCell ref="C27:F27"/>
    <mergeCell ref="G27:K27"/>
    <mergeCell ref="L27:P27"/>
    <mergeCell ref="Q27:T27"/>
    <mergeCell ref="BJ27:BK27"/>
    <mergeCell ref="BL27:BM27"/>
    <mergeCell ref="BN27:BO27"/>
    <mergeCell ref="BP27:BQ27"/>
    <mergeCell ref="Y25:AA27"/>
    <mergeCell ref="CI31:CK32"/>
    <mergeCell ref="C32:D32"/>
    <mergeCell ref="E32:F32"/>
    <mergeCell ref="G32:AP32"/>
    <mergeCell ref="AQ32:AT32"/>
    <mergeCell ref="AU32:AV32"/>
    <mergeCell ref="BW30:BX32"/>
    <mergeCell ref="AW32:AX32"/>
    <mergeCell ref="AY32:BD32"/>
    <mergeCell ref="BE32:BJ32"/>
    <mergeCell ref="BY30:BZ32"/>
    <mergeCell ref="CA30:CB32"/>
    <mergeCell ref="C30:AP31"/>
    <mergeCell ref="AQ30:AX31"/>
    <mergeCell ref="AY30:BD31"/>
    <mergeCell ref="BE30:BJ31"/>
    <mergeCell ref="BK30:BV30"/>
    <mergeCell ref="BK31:BP32"/>
    <mergeCell ref="BQ31:BV32"/>
    <mergeCell ref="BW33:BX33"/>
    <mergeCell ref="BY33:BZ33"/>
    <mergeCell ref="CA33:CB33"/>
    <mergeCell ref="C36:F36"/>
    <mergeCell ref="G36:K36"/>
    <mergeCell ref="L36:P36"/>
    <mergeCell ref="Q36:T36"/>
    <mergeCell ref="BJ36:BK36"/>
    <mergeCell ref="BL36:BM36"/>
    <mergeCell ref="W34:X36"/>
    <mergeCell ref="C34:F35"/>
    <mergeCell ref="G34:P35"/>
    <mergeCell ref="Q34:T35"/>
    <mergeCell ref="AB34:AC36"/>
    <mergeCell ref="AD34:BI36"/>
    <mergeCell ref="BJ34:BQ34"/>
    <mergeCell ref="BJ35:BM35"/>
    <mergeCell ref="BN36:BO36"/>
    <mergeCell ref="BP36:BQ36"/>
    <mergeCell ref="U34:V36"/>
    <mergeCell ref="C33:D33"/>
    <mergeCell ref="E33:AP33"/>
    <mergeCell ref="AY33:BD33"/>
    <mergeCell ref="BE33:BJ33"/>
    <mergeCell ref="Y37:AA37"/>
    <mergeCell ref="BZ41:CB41"/>
    <mergeCell ref="AB37:AC37"/>
    <mergeCell ref="AD37:BI37"/>
    <mergeCell ref="BJ37:BK37"/>
    <mergeCell ref="BL37:BM37"/>
    <mergeCell ref="BN37:BO37"/>
    <mergeCell ref="BP37:BQ37"/>
    <mergeCell ref="C37:F37"/>
    <mergeCell ref="G37:K37"/>
    <mergeCell ref="L37:P37"/>
    <mergeCell ref="Q37:T37"/>
    <mergeCell ref="U37:V37"/>
    <mergeCell ref="W37:X37"/>
    <mergeCell ref="BR42:BT43"/>
    <mergeCell ref="BV42:BX43"/>
    <mergeCell ref="BZ42:CB43"/>
    <mergeCell ref="C40:J41"/>
    <mergeCell ref="BR40:BT40"/>
    <mergeCell ref="BV40:BX40"/>
    <mergeCell ref="BZ40:CB40"/>
    <mergeCell ref="BR41:BT41"/>
    <mergeCell ref="BV41:BX41"/>
    <mergeCell ref="Y34:AA36"/>
    <mergeCell ref="BC9:BD9"/>
    <mergeCell ref="BE9:BV9"/>
    <mergeCell ref="U16:V18"/>
    <mergeCell ref="W16:X18"/>
    <mergeCell ref="Y16:AA18"/>
    <mergeCell ref="U25:V27"/>
    <mergeCell ref="W25:X27"/>
    <mergeCell ref="BN35:BQ35"/>
    <mergeCell ref="BP28:BQ28"/>
    <mergeCell ref="BK33:BP33"/>
    <mergeCell ref="BQ33:BV33"/>
    <mergeCell ref="Y28:AA28"/>
    <mergeCell ref="AB28:AC28"/>
    <mergeCell ref="AD28:BI28"/>
    <mergeCell ref="BJ28:BK28"/>
    <mergeCell ref="BL28:BM28"/>
    <mergeCell ref="BN28:BO28"/>
    <mergeCell ref="Y19:AA19"/>
    <mergeCell ref="AB19:AC19"/>
    <mergeCell ref="AD19:BI19"/>
    <mergeCell ref="BJ19:BK19"/>
    <mergeCell ref="BP18:BQ18"/>
    <mergeCell ref="BL19:BM19"/>
  </mergeCells>
  <phoneticPr fontId="2"/>
  <printOptions horizontalCentered="1" verticalCentered="1"/>
  <pageMargins left="0.23622047244094491" right="0.23622047244094491" top="0.39370078740157483" bottom="0.19685039370078741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Z43"/>
  <sheetViews>
    <sheetView zoomScale="80" zoomScaleNormal="80" workbookViewId="0">
      <selection activeCell="CF14" sqref="CF14"/>
    </sheetView>
  </sheetViews>
  <sheetFormatPr defaultColWidth="1.625" defaultRowHeight="20.100000000000001" customHeight="1" x14ac:dyDescent="0.15"/>
  <cols>
    <col min="1" max="1" width="2.5" style="48" customWidth="1"/>
    <col min="2" max="2" width="1.625" style="48"/>
    <col min="3" max="91" width="2.25" style="48" customWidth="1"/>
    <col min="92" max="104" width="1.625" style="48"/>
    <col min="105" max="16384" width="1.625" style="51"/>
  </cols>
  <sheetData>
    <row r="1" spans="1:104" ht="12.75" customHeight="1" x14ac:dyDescent="0.2">
      <c r="A1" s="454"/>
      <c r="B1" s="454"/>
      <c r="C1" s="454"/>
      <c r="D1" s="454"/>
      <c r="E1" s="454"/>
      <c r="F1" s="454"/>
      <c r="G1" s="454"/>
      <c r="H1" s="454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536" t="s">
        <v>36</v>
      </c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117"/>
      <c r="BE1" s="118"/>
      <c r="BF1" s="117"/>
      <c r="BG1" s="117"/>
      <c r="BH1" s="116"/>
      <c r="BI1" s="116"/>
      <c r="BJ1" s="116"/>
      <c r="BK1" s="116"/>
      <c r="BL1" s="116"/>
      <c r="BM1" s="116"/>
      <c r="BN1" s="118"/>
      <c r="BO1" s="118"/>
      <c r="BP1" s="118"/>
      <c r="BQ1" s="118"/>
      <c r="BR1" s="537"/>
      <c r="BS1" s="538"/>
      <c r="BT1" s="538"/>
      <c r="BU1" s="538"/>
      <c r="BV1" s="538"/>
      <c r="BW1" s="538"/>
      <c r="BX1" s="538"/>
      <c r="BY1" s="165"/>
      <c r="BZ1" s="537"/>
      <c r="CA1" s="540"/>
      <c r="CB1" s="540"/>
      <c r="CC1" s="165"/>
      <c r="CD1" s="166"/>
      <c r="CE1" s="166"/>
    </row>
    <row r="2" spans="1:104" ht="12.75" customHeight="1" x14ac:dyDescent="0.15">
      <c r="A2" s="119"/>
      <c r="B2" s="119"/>
      <c r="C2" s="168" t="s">
        <v>683</v>
      </c>
      <c r="D2" s="118"/>
      <c r="E2" s="119"/>
      <c r="F2" s="119"/>
      <c r="G2" s="119"/>
      <c r="H2" s="119"/>
      <c r="I2" s="116"/>
      <c r="J2" s="116"/>
      <c r="K2" s="116"/>
      <c r="L2" s="116"/>
      <c r="M2" s="116"/>
      <c r="N2" s="116"/>
      <c r="O2" s="116"/>
      <c r="P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6"/>
      <c r="AS2" s="536"/>
      <c r="AT2" s="536"/>
      <c r="AU2" s="536"/>
      <c r="AV2" s="536"/>
      <c r="AW2" s="536"/>
      <c r="AX2" s="536"/>
      <c r="AY2" s="536"/>
      <c r="AZ2" s="536"/>
      <c r="BA2" s="536"/>
      <c r="BB2" s="536"/>
      <c r="BC2" s="536"/>
      <c r="BD2" s="118"/>
      <c r="BE2" s="118"/>
      <c r="BF2" s="118"/>
      <c r="BG2" s="118"/>
      <c r="BH2" s="116"/>
      <c r="BI2" s="116"/>
      <c r="BJ2" s="116"/>
      <c r="BK2" s="116"/>
      <c r="BL2" s="116"/>
      <c r="BM2" s="116"/>
      <c r="BN2" s="118"/>
      <c r="BO2" s="118"/>
      <c r="BP2" s="118"/>
      <c r="BQ2" s="118"/>
      <c r="BR2" s="167"/>
      <c r="BS2" s="140"/>
      <c r="BT2" s="140"/>
      <c r="BU2" s="537"/>
      <c r="BV2" s="540"/>
      <c r="BW2" s="140"/>
      <c r="BX2" s="537"/>
      <c r="BY2" s="540"/>
      <c r="BZ2" s="140"/>
      <c r="CA2" s="537"/>
      <c r="CB2" s="540"/>
      <c r="CC2" s="140"/>
      <c r="CD2" s="161"/>
      <c r="CE2" s="161"/>
    </row>
    <row r="3" spans="1:104" ht="12.75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S3" s="118"/>
      <c r="T3" s="118"/>
      <c r="U3" s="118"/>
      <c r="V3" s="118"/>
      <c r="W3" s="118"/>
      <c r="X3" s="118"/>
      <c r="Y3" s="118"/>
      <c r="Z3" s="120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21"/>
      <c r="BQ3" s="121"/>
      <c r="BR3" s="121"/>
      <c r="BS3" s="121"/>
      <c r="BT3" s="121"/>
      <c r="BU3" s="121"/>
      <c r="BV3" s="121"/>
      <c r="BW3" s="121"/>
      <c r="BX3" s="121"/>
      <c r="BY3" s="118"/>
      <c r="BZ3" s="118"/>
      <c r="CA3" s="118"/>
      <c r="CB3" s="118"/>
      <c r="CC3" s="118"/>
      <c r="CD3" s="118"/>
      <c r="CE3" s="118"/>
      <c r="CG3" s="315"/>
      <c r="CH3" s="315"/>
      <c r="CI3" s="315"/>
      <c r="CJ3" s="315"/>
      <c r="CK3" s="315"/>
      <c r="CL3" s="315"/>
    </row>
    <row r="4" spans="1:104" ht="12.75" customHeight="1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G4" s="56"/>
      <c r="CH4" s="57"/>
      <c r="CI4" s="58"/>
      <c r="CJ4" s="56"/>
      <c r="CK4" s="57"/>
      <c r="CL4" s="58"/>
    </row>
    <row r="5" spans="1:104" ht="15.7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22"/>
      <c r="AW5" s="122"/>
      <c r="AX5" s="122"/>
      <c r="AY5" s="122"/>
      <c r="AZ5" s="123"/>
      <c r="BA5" s="123"/>
      <c r="BB5" s="118"/>
      <c r="BC5" s="438"/>
      <c r="BD5" s="438"/>
      <c r="BE5" s="532"/>
      <c r="BF5" s="532"/>
      <c r="BG5" s="532"/>
      <c r="BH5" s="532"/>
      <c r="BI5" s="532"/>
      <c r="BJ5" s="532"/>
      <c r="BK5" s="532"/>
      <c r="BL5" s="532"/>
      <c r="BM5" s="532"/>
      <c r="BN5" s="532"/>
      <c r="BO5" s="532"/>
      <c r="BP5" s="532"/>
      <c r="BQ5" s="532"/>
      <c r="BR5" s="532"/>
      <c r="BS5" s="532"/>
      <c r="BT5" s="532"/>
      <c r="BU5" s="532"/>
      <c r="BV5" s="532"/>
      <c r="BW5" s="532"/>
      <c r="BX5" s="532"/>
      <c r="BY5" s="532"/>
      <c r="BZ5" s="532"/>
      <c r="CA5" s="118"/>
      <c r="CB5" s="118"/>
      <c r="CC5" s="118"/>
      <c r="CD5" s="118"/>
      <c r="CE5" s="118"/>
      <c r="CZ5" s="51"/>
    </row>
    <row r="6" spans="1:104" ht="15.75" customHeight="1" x14ac:dyDescent="0.15">
      <c r="A6" s="468"/>
      <c r="B6" s="118"/>
      <c r="C6" s="447" t="s">
        <v>13</v>
      </c>
      <c r="D6" s="481"/>
      <c r="E6" s="481"/>
      <c r="F6" s="481"/>
      <c r="G6" s="469" t="s">
        <v>43</v>
      </c>
      <c r="H6" s="470"/>
      <c r="I6" s="429" t="s">
        <v>44</v>
      </c>
      <c r="J6" s="430"/>
      <c r="K6" s="431"/>
      <c r="L6" s="447" t="s">
        <v>17</v>
      </c>
      <c r="M6" s="460"/>
      <c r="N6" s="460"/>
      <c r="O6" s="461"/>
      <c r="P6" s="447" t="s">
        <v>17</v>
      </c>
      <c r="Q6" s="448"/>
      <c r="R6" s="125"/>
      <c r="S6" s="125"/>
      <c r="T6" s="125"/>
      <c r="U6" s="125"/>
      <c r="V6" s="126"/>
      <c r="W6" s="126"/>
      <c r="X6" s="118"/>
      <c r="Y6" s="118"/>
      <c r="Z6" s="118"/>
      <c r="AA6" s="118"/>
      <c r="AB6" s="65"/>
      <c r="AC6" s="65"/>
      <c r="AD6" s="65"/>
      <c r="AE6" s="65"/>
      <c r="AF6" s="65"/>
      <c r="AG6" s="65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26"/>
      <c r="BD6" s="126"/>
      <c r="BE6" s="12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18"/>
      <c r="BZ6" s="118"/>
      <c r="CA6" s="118"/>
      <c r="CB6" s="118"/>
      <c r="CC6" s="118"/>
      <c r="CD6" s="118"/>
      <c r="CE6" s="118"/>
    </row>
    <row r="7" spans="1:104" ht="15.75" customHeight="1" x14ac:dyDescent="0.15">
      <c r="A7" s="468"/>
      <c r="B7" s="118"/>
      <c r="C7" s="462" t="s">
        <v>37</v>
      </c>
      <c r="D7" s="463"/>
      <c r="E7" s="463"/>
      <c r="F7" s="463"/>
      <c r="G7" s="471"/>
      <c r="H7" s="472"/>
      <c r="I7" s="451" t="s">
        <v>16</v>
      </c>
      <c r="J7" s="452"/>
      <c r="K7" s="453"/>
      <c r="L7" s="462" t="s">
        <v>18</v>
      </c>
      <c r="M7" s="463"/>
      <c r="N7" s="463"/>
      <c r="O7" s="464"/>
      <c r="P7" s="462" t="s">
        <v>0</v>
      </c>
      <c r="Q7" s="464"/>
      <c r="R7" s="125"/>
      <c r="S7" s="125"/>
      <c r="T7" s="125"/>
      <c r="U7" s="125"/>
      <c r="V7" s="126"/>
      <c r="W7" s="126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438"/>
      <c r="BD7" s="438"/>
      <c r="BE7" s="539"/>
      <c r="BF7" s="539"/>
      <c r="BG7" s="539"/>
      <c r="BH7" s="539"/>
      <c r="BI7" s="539"/>
      <c r="BJ7" s="539"/>
      <c r="BK7" s="539"/>
      <c r="BL7" s="539"/>
      <c r="BM7" s="539"/>
      <c r="BN7" s="539"/>
      <c r="BO7" s="539"/>
      <c r="BP7" s="539"/>
      <c r="BQ7" s="539"/>
      <c r="BR7" s="539"/>
      <c r="BS7" s="539"/>
      <c r="BT7" s="539"/>
      <c r="BU7" s="539"/>
      <c r="BV7" s="539"/>
      <c r="BW7" s="539"/>
      <c r="BX7" s="539"/>
      <c r="BY7" s="539"/>
      <c r="BZ7" s="539"/>
      <c r="CA7" s="539"/>
      <c r="CB7" s="118"/>
      <c r="CC7" s="118"/>
      <c r="CD7" s="118"/>
      <c r="CE7" s="118"/>
    </row>
    <row r="8" spans="1:104" ht="15.75" customHeight="1" x14ac:dyDescent="0.15">
      <c r="A8" s="468"/>
      <c r="B8" s="118"/>
      <c r="C8" s="486">
        <f>【入力ｼｰﾄ】支援課提出用!C8</f>
        <v>0</v>
      </c>
      <c r="D8" s="490"/>
      <c r="E8" s="490"/>
      <c r="F8" s="487"/>
      <c r="G8" s="474">
        <f>【入力ｼｰﾄ】支援課提出用!G8</f>
        <v>0</v>
      </c>
      <c r="H8" s="475"/>
      <c r="I8" s="474">
        <f>【入力ｼｰﾄ】支援課提出用!I8</f>
        <v>0</v>
      </c>
      <c r="J8" s="482"/>
      <c r="K8" s="475"/>
      <c r="L8" s="492">
        <f>【入力ｼｰﾄ】支援課提出用!L8</f>
        <v>0</v>
      </c>
      <c r="M8" s="493"/>
      <c r="N8" s="493"/>
      <c r="O8" s="494"/>
      <c r="P8" s="486">
        <f>【入力ｼｰﾄ】支援課提出用!P8</f>
        <v>0</v>
      </c>
      <c r="Q8" s="487"/>
      <c r="R8" s="449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450"/>
      <c r="AW8" s="450"/>
      <c r="AX8" s="450"/>
      <c r="AY8" s="450"/>
      <c r="AZ8" s="450"/>
      <c r="BA8" s="125"/>
      <c r="BB8" s="118"/>
      <c r="BC8" s="129"/>
      <c r="BD8" s="129"/>
      <c r="BE8" s="129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18"/>
      <c r="BZ8" s="118"/>
      <c r="CA8" s="118"/>
      <c r="CB8" s="118"/>
      <c r="CC8" s="118"/>
      <c r="CD8" s="118"/>
      <c r="CE8" s="118"/>
    </row>
    <row r="9" spans="1:104" ht="15.75" customHeight="1" x14ac:dyDescent="0.15">
      <c r="A9" s="468"/>
      <c r="B9" s="118"/>
      <c r="C9" s="488"/>
      <c r="D9" s="491"/>
      <c r="E9" s="491"/>
      <c r="F9" s="489"/>
      <c r="G9" s="476"/>
      <c r="H9" s="477"/>
      <c r="I9" s="476"/>
      <c r="J9" s="483"/>
      <c r="K9" s="477"/>
      <c r="L9" s="495"/>
      <c r="M9" s="496"/>
      <c r="N9" s="496"/>
      <c r="O9" s="497"/>
      <c r="P9" s="488"/>
      <c r="Q9" s="489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50"/>
      <c r="AW9" s="450"/>
      <c r="AX9" s="450"/>
      <c r="AY9" s="450"/>
      <c r="AZ9" s="450"/>
      <c r="BA9" s="125"/>
      <c r="BB9" s="118"/>
      <c r="BC9" s="533"/>
      <c r="BD9" s="533"/>
      <c r="BE9" s="533"/>
      <c r="BF9" s="534"/>
      <c r="BG9" s="534"/>
      <c r="BH9" s="534"/>
      <c r="BI9" s="534"/>
      <c r="BJ9" s="534"/>
      <c r="BK9" s="534"/>
      <c r="BL9" s="534"/>
      <c r="BM9" s="534"/>
      <c r="BN9" s="534"/>
      <c r="BO9" s="534"/>
      <c r="BP9" s="534"/>
      <c r="BQ9" s="534"/>
      <c r="BR9" s="534"/>
      <c r="BS9" s="534"/>
      <c r="BT9" s="534"/>
      <c r="BU9" s="534"/>
      <c r="BV9" s="534"/>
      <c r="BW9" s="136"/>
      <c r="BX9" s="478"/>
      <c r="BY9" s="479"/>
      <c r="BZ9" s="118"/>
      <c r="CA9" s="118"/>
      <c r="CB9" s="118"/>
      <c r="CC9" s="118"/>
      <c r="CD9" s="118"/>
      <c r="CE9" s="118"/>
    </row>
    <row r="10" spans="1:104" ht="15.75" customHeight="1" x14ac:dyDescent="0.2">
      <c r="A10" s="468"/>
      <c r="B10" s="118"/>
      <c r="C10" s="130"/>
      <c r="D10" s="130"/>
      <c r="E10" s="130"/>
      <c r="F10" s="130"/>
      <c r="G10" s="130"/>
      <c r="H10" s="130"/>
      <c r="I10" s="131"/>
      <c r="J10" s="131"/>
      <c r="K10" s="131"/>
      <c r="L10" s="132"/>
      <c r="M10" s="132"/>
      <c r="N10" s="132"/>
      <c r="O10" s="133"/>
      <c r="P10" s="133"/>
      <c r="Q10" s="118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18"/>
      <c r="BC10" s="134"/>
      <c r="BD10" s="134"/>
      <c r="BE10" s="134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6"/>
      <c r="BX10" s="136"/>
      <c r="BY10" s="137"/>
      <c r="BZ10" s="118"/>
      <c r="CA10" s="118"/>
      <c r="CB10" s="118"/>
      <c r="CC10" s="118"/>
      <c r="CD10" s="118"/>
      <c r="CE10" s="118"/>
    </row>
    <row r="11" spans="1:104" ht="6.75" customHeight="1" x14ac:dyDescent="0.2">
      <c r="A11" s="468"/>
      <c r="B11" s="118"/>
      <c r="C11" s="130"/>
      <c r="D11" s="130"/>
      <c r="E11" s="130"/>
      <c r="F11" s="130"/>
      <c r="G11" s="130"/>
      <c r="H11" s="130"/>
      <c r="I11" s="138"/>
      <c r="J11" s="138"/>
      <c r="K11" s="139"/>
      <c r="L11" s="139"/>
      <c r="M11" s="133"/>
      <c r="N11" s="133"/>
      <c r="O11" s="118"/>
      <c r="P11" s="118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18"/>
      <c r="BC11" s="134"/>
      <c r="BD11" s="134"/>
      <c r="BE11" s="134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6"/>
      <c r="BX11" s="136"/>
      <c r="BY11" s="137"/>
      <c r="BZ11" s="118"/>
      <c r="CA11" s="118"/>
      <c r="CB11" s="118"/>
      <c r="CC11" s="121"/>
      <c r="CD11" s="121"/>
      <c r="CE11" s="121"/>
      <c r="CG11" s="55"/>
      <c r="CH11" s="55"/>
      <c r="CI11" s="55"/>
      <c r="CK11" s="55"/>
      <c r="CL11" s="55"/>
      <c r="CM11" s="55"/>
    </row>
    <row r="12" spans="1:104" ht="12.75" customHeight="1" x14ac:dyDescent="0.15">
      <c r="A12" s="468"/>
      <c r="B12" s="118"/>
      <c r="C12" s="373" t="s">
        <v>41</v>
      </c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 t="s">
        <v>5</v>
      </c>
      <c r="AR12" s="373"/>
      <c r="AS12" s="373"/>
      <c r="AT12" s="373"/>
      <c r="AU12" s="373"/>
      <c r="AV12" s="373"/>
      <c r="AW12" s="373"/>
      <c r="AX12" s="403"/>
      <c r="AY12" s="404" t="s">
        <v>28</v>
      </c>
      <c r="AZ12" s="405"/>
      <c r="BA12" s="405"/>
      <c r="BB12" s="405"/>
      <c r="BC12" s="405"/>
      <c r="BD12" s="406"/>
      <c r="BE12" s="404" t="s">
        <v>6</v>
      </c>
      <c r="BF12" s="405"/>
      <c r="BG12" s="405"/>
      <c r="BH12" s="405"/>
      <c r="BI12" s="405"/>
      <c r="BJ12" s="406"/>
      <c r="BK12" s="403" t="s">
        <v>31</v>
      </c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1"/>
      <c r="BW12" s="393" t="s">
        <v>1</v>
      </c>
      <c r="BX12" s="393"/>
      <c r="BY12" s="393" t="s">
        <v>2</v>
      </c>
      <c r="BZ12" s="393"/>
      <c r="CA12" s="395" t="s">
        <v>701</v>
      </c>
      <c r="CB12" s="395"/>
      <c r="CC12" s="118"/>
      <c r="CD12" s="118"/>
      <c r="CE12" s="118"/>
    </row>
    <row r="13" spans="1:104" ht="12.75" customHeight="1" x14ac:dyDescent="0.15">
      <c r="A13" s="118"/>
      <c r="B13" s="118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403"/>
      <c r="AY13" s="407"/>
      <c r="AZ13" s="408"/>
      <c r="BA13" s="408"/>
      <c r="BB13" s="408"/>
      <c r="BC13" s="408"/>
      <c r="BD13" s="409"/>
      <c r="BE13" s="407"/>
      <c r="BF13" s="408"/>
      <c r="BG13" s="408"/>
      <c r="BH13" s="408"/>
      <c r="BI13" s="408"/>
      <c r="BJ13" s="408"/>
      <c r="BK13" s="265" t="s">
        <v>697</v>
      </c>
      <c r="BL13" s="266"/>
      <c r="BM13" s="266"/>
      <c r="BN13" s="266"/>
      <c r="BO13" s="266"/>
      <c r="BP13" s="267"/>
      <c r="BQ13" s="265" t="s">
        <v>698</v>
      </c>
      <c r="BR13" s="266"/>
      <c r="BS13" s="266"/>
      <c r="BT13" s="266"/>
      <c r="BU13" s="266"/>
      <c r="BV13" s="267"/>
      <c r="BW13" s="401"/>
      <c r="BX13" s="393"/>
      <c r="BY13" s="393"/>
      <c r="BZ13" s="393"/>
      <c r="CA13" s="395"/>
      <c r="CB13" s="395"/>
      <c r="CC13" s="118"/>
      <c r="CD13" s="118"/>
      <c r="CE13" s="118"/>
      <c r="CF13" s="80"/>
      <c r="CG13" s="80"/>
      <c r="CH13" s="80"/>
      <c r="CI13" s="327"/>
      <c r="CJ13" s="328"/>
      <c r="CK13" s="328"/>
      <c r="CL13" s="80"/>
      <c r="CM13" s="80"/>
      <c r="CN13" s="80"/>
      <c r="CO13" s="80"/>
      <c r="CP13" s="80"/>
      <c r="CQ13" s="51"/>
      <c r="CR13" s="51"/>
      <c r="CS13" s="51"/>
      <c r="CT13" s="51"/>
      <c r="CU13" s="51"/>
      <c r="CV13" s="51"/>
      <c r="CW13" s="51"/>
      <c r="CX13" s="51"/>
      <c r="CY13" s="51"/>
      <c r="CZ13" s="51"/>
    </row>
    <row r="14" spans="1:104" ht="18" customHeight="1" x14ac:dyDescent="0.15">
      <c r="A14" s="118"/>
      <c r="B14" s="118"/>
      <c r="C14" s="202" t="s">
        <v>38</v>
      </c>
      <c r="D14" s="202"/>
      <c r="E14" s="397">
        <f>【入力ｼｰﾄ】支援課提出用!E14</f>
        <v>0</v>
      </c>
      <c r="F14" s="398"/>
      <c r="G14" s="535">
        <f>【入力ｼｰﾄ】支援課提出用!G14</f>
        <v>0</v>
      </c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  <c r="U14" s="535"/>
      <c r="V14" s="535"/>
      <c r="W14" s="535"/>
      <c r="X14" s="535"/>
      <c r="Y14" s="535"/>
      <c r="Z14" s="535"/>
      <c r="AA14" s="535"/>
      <c r="AB14" s="535"/>
      <c r="AC14" s="535"/>
      <c r="AD14" s="535"/>
      <c r="AE14" s="535"/>
      <c r="AF14" s="535"/>
      <c r="AG14" s="535"/>
      <c r="AH14" s="535"/>
      <c r="AI14" s="535"/>
      <c r="AJ14" s="535"/>
      <c r="AK14" s="535"/>
      <c r="AL14" s="535"/>
      <c r="AM14" s="535"/>
      <c r="AN14" s="535"/>
      <c r="AO14" s="535"/>
      <c r="AP14" s="535"/>
      <c r="AQ14" s="373" t="s">
        <v>42</v>
      </c>
      <c r="AR14" s="373"/>
      <c r="AS14" s="373"/>
      <c r="AT14" s="373"/>
      <c r="AU14" s="373" t="s">
        <v>7</v>
      </c>
      <c r="AV14" s="373"/>
      <c r="AW14" s="373" t="s">
        <v>4</v>
      </c>
      <c r="AX14" s="373"/>
      <c r="AY14" s="380" t="s">
        <v>8</v>
      </c>
      <c r="AZ14" s="381"/>
      <c r="BA14" s="381"/>
      <c r="BB14" s="381"/>
      <c r="BC14" s="381"/>
      <c r="BD14" s="382"/>
      <c r="BE14" s="380" t="s">
        <v>8</v>
      </c>
      <c r="BF14" s="381"/>
      <c r="BG14" s="381"/>
      <c r="BH14" s="381"/>
      <c r="BI14" s="381"/>
      <c r="BJ14" s="381"/>
      <c r="BK14" s="218"/>
      <c r="BL14" s="219"/>
      <c r="BM14" s="219"/>
      <c r="BN14" s="219"/>
      <c r="BO14" s="219"/>
      <c r="BP14" s="247"/>
      <c r="BQ14" s="218"/>
      <c r="BR14" s="219"/>
      <c r="BS14" s="219"/>
      <c r="BT14" s="219"/>
      <c r="BU14" s="219"/>
      <c r="BV14" s="247"/>
      <c r="BW14" s="402"/>
      <c r="BX14" s="394"/>
      <c r="BY14" s="394"/>
      <c r="BZ14" s="394"/>
      <c r="CA14" s="396"/>
      <c r="CB14" s="396"/>
      <c r="CC14" s="118"/>
      <c r="CD14" s="118"/>
      <c r="CE14" s="118"/>
      <c r="CF14" s="80"/>
      <c r="CG14" s="80"/>
      <c r="CH14" s="80"/>
      <c r="CI14" s="328"/>
      <c r="CJ14" s="328"/>
      <c r="CK14" s="328"/>
      <c r="CL14" s="80"/>
      <c r="CM14" s="80"/>
      <c r="CN14" s="80"/>
      <c r="CO14" s="80"/>
      <c r="CP14" s="80"/>
      <c r="CQ14" s="51"/>
      <c r="CR14" s="51"/>
      <c r="CS14" s="51"/>
      <c r="CT14" s="51"/>
      <c r="CU14" s="51"/>
      <c r="CV14" s="51"/>
      <c r="CW14" s="51"/>
      <c r="CX14" s="51"/>
      <c r="CY14" s="51"/>
      <c r="CZ14" s="51"/>
    </row>
    <row r="15" spans="1:104" s="87" customFormat="1" ht="27" customHeight="1" x14ac:dyDescent="0.2">
      <c r="A15" s="140"/>
      <c r="B15" s="140"/>
      <c r="C15" s="202" t="s">
        <v>39</v>
      </c>
      <c r="D15" s="202"/>
      <c r="E15" s="525">
        <f>【入力ｼｰﾄ】支援課提出用!E15</f>
        <v>0</v>
      </c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  <c r="U15" s="526"/>
      <c r="V15" s="526"/>
      <c r="W15" s="526"/>
      <c r="X15" s="526"/>
      <c r="Y15" s="526"/>
      <c r="Z15" s="526"/>
      <c r="AA15" s="526"/>
      <c r="AB15" s="526"/>
      <c r="AC15" s="526"/>
      <c r="AD15" s="526"/>
      <c r="AE15" s="526"/>
      <c r="AF15" s="526"/>
      <c r="AG15" s="526"/>
      <c r="AH15" s="526"/>
      <c r="AI15" s="526"/>
      <c r="AJ15" s="526"/>
      <c r="AK15" s="526"/>
      <c r="AL15" s="526"/>
      <c r="AM15" s="526"/>
      <c r="AN15" s="526"/>
      <c r="AO15" s="526"/>
      <c r="AP15" s="527"/>
      <c r="AQ15" s="179">
        <f>【入力ｼｰﾄ】支援課提出用!AQ15</f>
        <v>0</v>
      </c>
      <c r="AR15" s="177">
        <f>【入力ｼｰﾄ】支援課提出用!AR15</f>
        <v>0</v>
      </c>
      <c r="AS15" s="177">
        <f>【入力ｼｰﾄ】支援課提出用!AS15</f>
        <v>0</v>
      </c>
      <c r="AT15" s="178">
        <f>【入力ｼｰﾄ】支援課提出用!AT15</f>
        <v>0</v>
      </c>
      <c r="AU15" s="179">
        <f>【入力ｼｰﾄ】支援課提出用!AU15</f>
        <v>0</v>
      </c>
      <c r="AV15" s="176">
        <f>【入力ｼｰﾄ】支援課提出用!AV15</f>
        <v>0</v>
      </c>
      <c r="AW15" s="179">
        <f>【入力ｼｰﾄ】支援課提出用!AW15</f>
        <v>0</v>
      </c>
      <c r="AX15" s="176">
        <f>【入力ｼｰﾄ】支援課提出用!AX15</f>
        <v>0</v>
      </c>
      <c r="AY15" s="528">
        <f>【入力ｼｰﾄ】支援課提出用!AY15</f>
        <v>0</v>
      </c>
      <c r="AZ15" s="529"/>
      <c r="BA15" s="529"/>
      <c r="BB15" s="529"/>
      <c r="BC15" s="529"/>
      <c r="BD15" s="530"/>
      <c r="BE15" s="531">
        <f>【入力ｼｰﾄ】支援課提出用!BE15</f>
        <v>0</v>
      </c>
      <c r="BF15" s="531"/>
      <c r="BG15" s="531"/>
      <c r="BH15" s="531"/>
      <c r="BI15" s="531"/>
      <c r="BJ15" s="531"/>
      <c r="BK15" s="227" t="str">
        <f>【入力ｼｰﾄ】支援課提出用!BK15</f>
        <v/>
      </c>
      <c r="BL15" s="227"/>
      <c r="BM15" s="227"/>
      <c r="BN15" s="227"/>
      <c r="BO15" s="227"/>
      <c r="BP15" s="227"/>
      <c r="BQ15" s="227" t="str">
        <f>【入力ｼｰﾄ】支援課提出用!BQ15</f>
        <v/>
      </c>
      <c r="BR15" s="227"/>
      <c r="BS15" s="227"/>
      <c r="BT15" s="227"/>
      <c r="BU15" s="227"/>
      <c r="BV15" s="227"/>
      <c r="BW15" s="417">
        <f>【入力ｼｰﾄ】支援課提出用!BW15</f>
        <v>0</v>
      </c>
      <c r="BX15" s="417"/>
      <c r="BY15" s="418">
        <f>【入力ｼｰﾄ】支援課提出用!BY15</f>
        <v>0</v>
      </c>
      <c r="BZ15" s="418"/>
      <c r="CA15" s="415">
        <f>【入力ｼｰﾄ】支援課提出用!CA15</f>
        <v>0</v>
      </c>
      <c r="CB15" s="415"/>
      <c r="CC15" s="140"/>
      <c r="CD15" s="140"/>
      <c r="CE15" s="140"/>
      <c r="CF15" s="84"/>
      <c r="CG15" s="84"/>
      <c r="CH15" s="84"/>
      <c r="CI15" s="84"/>
      <c r="CJ15" s="84"/>
      <c r="CK15" s="84"/>
      <c r="CL15" s="85"/>
      <c r="CM15" s="85"/>
      <c r="CN15" s="85"/>
      <c r="CO15" s="85"/>
      <c r="CP15" s="85"/>
      <c r="CQ15" s="85"/>
      <c r="CR15" s="85"/>
      <c r="CS15" s="85"/>
    </row>
    <row r="16" spans="1:104" ht="12.2" customHeight="1" x14ac:dyDescent="0.15">
      <c r="A16" s="118"/>
      <c r="B16" s="118"/>
      <c r="C16" s="367" t="s">
        <v>675</v>
      </c>
      <c r="D16" s="368"/>
      <c r="E16" s="369"/>
      <c r="F16" s="370"/>
      <c r="G16" s="372" t="s">
        <v>29</v>
      </c>
      <c r="H16" s="372"/>
      <c r="I16" s="372"/>
      <c r="J16" s="372"/>
      <c r="K16" s="372"/>
      <c r="L16" s="372"/>
      <c r="M16" s="372"/>
      <c r="N16" s="372"/>
      <c r="O16" s="372"/>
      <c r="P16" s="372"/>
      <c r="Q16" s="374" t="s">
        <v>676</v>
      </c>
      <c r="R16" s="369"/>
      <c r="S16" s="369"/>
      <c r="T16" s="370"/>
      <c r="U16" s="360" t="s">
        <v>40</v>
      </c>
      <c r="V16" s="360"/>
      <c r="W16" s="360" t="s">
        <v>679</v>
      </c>
      <c r="X16" s="360"/>
      <c r="Y16" s="360" t="s">
        <v>27</v>
      </c>
      <c r="Z16" s="360"/>
      <c r="AA16" s="360"/>
      <c r="AB16" s="212" t="s">
        <v>696</v>
      </c>
      <c r="AC16" s="213"/>
      <c r="AD16" s="375" t="s">
        <v>34</v>
      </c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498"/>
      <c r="BJ16" s="499" t="s">
        <v>30</v>
      </c>
      <c r="BK16" s="384"/>
      <c r="BL16" s="384"/>
      <c r="BM16" s="384"/>
      <c r="BN16" s="384"/>
      <c r="BO16" s="384"/>
      <c r="BP16" s="384"/>
      <c r="BQ16" s="385"/>
      <c r="BR16" s="141"/>
      <c r="BS16" s="141"/>
      <c r="BT16" s="141"/>
      <c r="BU16" s="141"/>
      <c r="BV16" s="141"/>
      <c r="BW16" s="142"/>
      <c r="BX16" s="142"/>
      <c r="BY16" s="142"/>
      <c r="BZ16" s="142"/>
      <c r="CA16" s="141"/>
      <c r="CB16" s="141"/>
      <c r="CC16" s="141"/>
      <c r="CD16" s="141"/>
      <c r="CE16" s="14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</row>
    <row r="17" spans="1:104" ht="12.2" customHeight="1" x14ac:dyDescent="0.15">
      <c r="A17" s="118"/>
      <c r="B17" s="118"/>
      <c r="C17" s="371"/>
      <c r="D17" s="369"/>
      <c r="E17" s="369"/>
      <c r="F17" s="370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1"/>
      <c r="R17" s="369"/>
      <c r="S17" s="369"/>
      <c r="T17" s="370"/>
      <c r="U17" s="360"/>
      <c r="V17" s="360"/>
      <c r="W17" s="360"/>
      <c r="X17" s="360"/>
      <c r="Y17" s="360"/>
      <c r="Z17" s="360"/>
      <c r="AA17" s="360"/>
      <c r="AB17" s="214"/>
      <c r="AC17" s="215"/>
      <c r="AD17" s="379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8"/>
      <c r="BJ17" s="359" t="s">
        <v>703</v>
      </c>
      <c r="BK17" s="359"/>
      <c r="BL17" s="359"/>
      <c r="BM17" s="359"/>
      <c r="BN17" s="359" t="s">
        <v>704</v>
      </c>
      <c r="BO17" s="359"/>
      <c r="BP17" s="359"/>
      <c r="BQ17" s="359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</row>
    <row r="18" spans="1:104" ht="12.2" customHeight="1" x14ac:dyDescent="0.15">
      <c r="A18" s="118"/>
      <c r="B18" s="118"/>
      <c r="C18" s="364" t="s">
        <v>9</v>
      </c>
      <c r="D18" s="365"/>
      <c r="E18" s="365"/>
      <c r="F18" s="366"/>
      <c r="G18" s="363" t="s">
        <v>10</v>
      </c>
      <c r="H18" s="363"/>
      <c r="I18" s="363"/>
      <c r="J18" s="363"/>
      <c r="K18" s="363"/>
      <c r="L18" s="363" t="s">
        <v>11</v>
      </c>
      <c r="M18" s="363"/>
      <c r="N18" s="363"/>
      <c r="O18" s="363"/>
      <c r="P18" s="363"/>
      <c r="Q18" s="364" t="s">
        <v>9</v>
      </c>
      <c r="R18" s="365"/>
      <c r="S18" s="365"/>
      <c r="T18" s="366"/>
      <c r="U18" s="360"/>
      <c r="V18" s="360"/>
      <c r="W18" s="360"/>
      <c r="X18" s="360"/>
      <c r="Y18" s="360"/>
      <c r="Z18" s="360"/>
      <c r="AA18" s="360"/>
      <c r="AB18" s="216"/>
      <c r="AC18" s="217"/>
      <c r="AD18" s="380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2"/>
      <c r="BJ18" s="359" t="s">
        <v>3</v>
      </c>
      <c r="BK18" s="359"/>
      <c r="BL18" s="359" t="s">
        <v>4</v>
      </c>
      <c r="BM18" s="359"/>
      <c r="BN18" s="359" t="s">
        <v>3</v>
      </c>
      <c r="BO18" s="359"/>
      <c r="BP18" s="359" t="s">
        <v>4</v>
      </c>
      <c r="BQ18" s="359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</row>
    <row r="19" spans="1:104" ht="27" customHeight="1" x14ac:dyDescent="0.15">
      <c r="A19" s="118"/>
      <c r="B19" s="118"/>
      <c r="C19" s="204">
        <f>【入力ｼｰﾄ】支援課提出用!C19</f>
        <v>0</v>
      </c>
      <c r="D19" s="204"/>
      <c r="E19" s="204"/>
      <c r="F19" s="204"/>
      <c r="G19" s="204">
        <f>【入力ｼｰﾄ】支援課提出用!G19</f>
        <v>0</v>
      </c>
      <c r="H19" s="204"/>
      <c r="I19" s="204"/>
      <c r="J19" s="204"/>
      <c r="K19" s="204"/>
      <c r="L19" s="204">
        <f>【入力ｼｰﾄ】支援課提出用!L19</f>
        <v>0</v>
      </c>
      <c r="M19" s="204"/>
      <c r="N19" s="204"/>
      <c r="O19" s="204"/>
      <c r="P19" s="204"/>
      <c r="Q19" s="521">
        <f>【入力ｼｰﾄ】支援課提出用!Q19</f>
        <v>0</v>
      </c>
      <c r="R19" s="521"/>
      <c r="S19" s="521"/>
      <c r="T19" s="521"/>
      <c r="U19" s="522">
        <f>【入力ｼｰﾄ】支援課提出用!U19</f>
        <v>0</v>
      </c>
      <c r="V19" s="522"/>
      <c r="W19" s="522">
        <f>【入力ｼｰﾄ】支援課提出用!W19</f>
        <v>0</v>
      </c>
      <c r="X19" s="522"/>
      <c r="Y19" s="522">
        <f>【入力ｼｰﾄ】支援課提出用!Y19</f>
        <v>0</v>
      </c>
      <c r="Z19" s="522"/>
      <c r="AA19" s="522"/>
      <c r="AB19" s="515">
        <f>【入力ｼｰﾄ】支援課提出用!AB19</f>
        <v>0</v>
      </c>
      <c r="AC19" s="515"/>
      <c r="AD19" s="516">
        <f>【入力ｼｰﾄ】支援課提出用!AD19</f>
        <v>0</v>
      </c>
      <c r="AE19" s="517"/>
      <c r="AF19" s="517"/>
      <c r="AG19" s="517"/>
      <c r="AH19" s="517"/>
      <c r="AI19" s="517"/>
      <c r="AJ19" s="517"/>
      <c r="AK19" s="517"/>
      <c r="AL19" s="517"/>
      <c r="AM19" s="517"/>
      <c r="AN19" s="517"/>
      <c r="AO19" s="517"/>
      <c r="AP19" s="517"/>
      <c r="AQ19" s="517"/>
      <c r="AR19" s="517"/>
      <c r="AS19" s="517"/>
      <c r="AT19" s="517"/>
      <c r="AU19" s="517"/>
      <c r="AV19" s="517"/>
      <c r="AW19" s="517"/>
      <c r="AX19" s="517"/>
      <c r="AY19" s="517"/>
      <c r="AZ19" s="517"/>
      <c r="BA19" s="517"/>
      <c r="BB19" s="517"/>
      <c r="BC19" s="517"/>
      <c r="BD19" s="517"/>
      <c r="BE19" s="517"/>
      <c r="BF19" s="517"/>
      <c r="BG19" s="517"/>
      <c r="BH19" s="517"/>
      <c r="BI19" s="518"/>
      <c r="BJ19" s="519">
        <f>【入力ｼｰﾄ】支援課提出用!BJ19</f>
        <v>0</v>
      </c>
      <c r="BK19" s="520"/>
      <c r="BL19" s="523">
        <v>20</v>
      </c>
      <c r="BM19" s="524"/>
      <c r="BN19" s="519">
        <f>【入力ｼｰﾄ】支援課提出用!BN19</f>
        <v>0</v>
      </c>
      <c r="BO19" s="520"/>
      <c r="BP19" s="523">
        <v>20</v>
      </c>
      <c r="BQ19" s="524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</row>
    <row r="20" spans="1:104" ht="15" customHeight="1" x14ac:dyDescent="0.15">
      <c r="A20" s="118"/>
      <c r="B20" s="118"/>
      <c r="C20" s="118"/>
      <c r="D20" s="118"/>
      <c r="E20" s="118"/>
      <c r="F20" s="118"/>
      <c r="G20" s="118"/>
      <c r="H20" s="120"/>
      <c r="I20" s="118"/>
      <c r="J20" s="118"/>
      <c r="K20" s="118"/>
      <c r="L20" s="118"/>
      <c r="M20" s="118"/>
      <c r="N20" s="173" t="s">
        <v>792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20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</row>
    <row r="21" spans="1:104" s="145" customFormat="1" ht="12.75" customHeight="1" x14ac:dyDescent="0.15">
      <c r="A21" s="144"/>
      <c r="B21" s="144"/>
      <c r="C21" s="373" t="s">
        <v>41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 t="s">
        <v>5</v>
      </c>
      <c r="AR21" s="373"/>
      <c r="AS21" s="373"/>
      <c r="AT21" s="373"/>
      <c r="AU21" s="373"/>
      <c r="AV21" s="373"/>
      <c r="AW21" s="373"/>
      <c r="AX21" s="403"/>
      <c r="AY21" s="404" t="s">
        <v>28</v>
      </c>
      <c r="AZ21" s="405"/>
      <c r="BA21" s="405"/>
      <c r="BB21" s="405"/>
      <c r="BC21" s="405"/>
      <c r="BD21" s="406"/>
      <c r="BE21" s="404" t="s">
        <v>6</v>
      </c>
      <c r="BF21" s="405"/>
      <c r="BG21" s="405"/>
      <c r="BH21" s="405"/>
      <c r="BI21" s="405"/>
      <c r="BJ21" s="406"/>
      <c r="BK21" s="403" t="s">
        <v>31</v>
      </c>
      <c r="BL21" s="410"/>
      <c r="BM21" s="410"/>
      <c r="BN21" s="410"/>
      <c r="BO21" s="410"/>
      <c r="BP21" s="410"/>
      <c r="BQ21" s="410"/>
      <c r="BR21" s="410"/>
      <c r="BS21" s="410"/>
      <c r="BT21" s="410"/>
      <c r="BU21" s="410"/>
      <c r="BV21" s="411"/>
      <c r="BW21" s="393" t="s">
        <v>1</v>
      </c>
      <c r="BX21" s="393"/>
      <c r="BY21" s="393" t="s">
        <v>2</v>
      </c>
      <c r="BZ21" s="393"/>
      <c r="CA21" s="395" t="s">
        <v>701</v>
      </c>
      <c r="CB21" s="395"/>
      <c r="CC21" s="144"/>
      <c r="CD21" s="144"/>
      <c r="CE21" s="144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</row>
    <row r="22" spans="1:104" s="145" customFormat="1" ht="12.75" customHeight="1" x14ac:dyDescent="0.15">
      <c r="A22" s="144"/>
      <c r="B22" s="144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403"/>
      <c r="AY22" s="407"/>
      <c r="AZ22" s="408"/>
      <c r="BA22" s="408"/>
      <c r="BB22" s="408"/>
      <c r="BC22" s="408"/>
      <c r="BD22" s="409"/>
      <c r="BE22" s="407"/>
      <c r="BF22" s="408"/>
      <c r="BG22" s="408"/>
      <c r="BH22" s="408"/>
      <c r="BI22" s="408"/>
      <c r="BJ22" s="408"/>
      <c r="BK22" s="265" t="s">
        <v>697</v>
      </c>
      <c r="BL22" s="266"/>
      <c r="BM22" s="266"/>
      <c r="BN22" s="266"/>
      <c r="BO22" s="266"/>
      <c r="BP22" s="267"/>
      <c r="BQ22" s="265" t="s">
        <v>698</v>
      </c>
      <c r="BR22" s="266"/>
      <c r="BS22" s="266"/>
      <c r="BT22" s="266"/>
      <c r="BU22" s="266"/>
      <c r="BV22" s="267"/>
      <c r="BW22" s="401"/>
      <c r="BX22" s="393"/>
      <c r="BY22" s="393"/>
      <c r="BZ22" s="393"/>
      <c r="CA22" s="395"/>
      <c r="CB22" s="395"/>
      <c r="CC22" s="144"/>
      <c r="CD22" s="144"/>
      <c r="CE22" s="144"/>
      <c r="CF22" s="146"/>
      <c r="CG22" s="146"/>
      <c r="CH22" s="146"/>
      <c r="CI22" s="391"/>
      <c r="CJ22" s="392"/>
      <c r="CK22" s="392"/>
      <c r="CL22" s="146"/>
      <c r="CM22" s="146"/>
      <c r="CN22" s="146"/>
      <c r="CO22" s="146"/>
      <c r="CP22" s="146"/>
    </row>
    <row r="23" spans="1:104" s="145" customFormat="1" ht="18" customHeight="1" x14ac:dyDescent="0.15">
      <c r="A23" s="144"/>
      <c r="B23" s="144"/>
      <c r="C23" s="202" t="s">
        <v>38</v>
      </c>
      <c r="D23" s="202"/>
      <c r="E23" s="397">
        <f>【入力ｼｰﾄ】支援課提出用!E23</f>
        <v>0</v>
      </c>
      <c r="F23" s="398"/>
      <c r="G23" s="399">
        <f>【入力ｼｰﾄ】支援課提出用!G23:AP23</f>
        <v>0</v>
      </c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373" t="s">
        <v>42</v>
      </c>
      <c r="AR23" s="373"/>
      <c r="AS23" s="373"/>
      <c r="AT23" s="373"/>
      <c r="AU23" s="373" t="s">
        <v>7</v>
      </c>
      <c r="AV23" s="373"/>
      <c r="AW23" s="373" t="s">
        <v>4</v>
      </c>
      <c r="AX23" s="373"/>
      <c r="AY23" s="380" t="s">
        <v>8</v>
      </c>
      <c r="AZ23" s="381"/>
      <c r="BA23" s="381"/>
      <c r="BB23" s="381"/>
      <c r="BC23" s="381"/>
      <c r="BD23" s="382"/>
      <c r="BE23" s="380" t="s">
        <v>8</v>
      </c>
      <c r="BF23" s="381"/>
      <c r="BG23" s="381"/>
      <c r="BH23" s="381"/>
      <c r="BI23" s="381"/>
      <c r="BJ23" s="381"/>
      <c r="BK23" s="218"/>
      <c r="BL23" s="219"/>
      <c r="BM23" s="219"/>
      <c r="BN23" s="219"/>
      <c r="BO23" s="219"/>
      <c r="BP23" s="247"/>
      <c r="BQ23" s="218"/>
      <c r="BR23" s="219"/>
      <c r="BS23" s="219"/>
      <c r="BT23" s="219"/>
      <c r="BU23" s="219"/>
      <c r="BV23" s="247"/>
      <c r="BW23" s="402"/>
      <c r="BX23" s="394"/>
      <c r="BY23" s="394"/>
      <c r="BZ23" s="394"/>
      <c r="CA23" s="396"/>
      <c r="CB23" s="396"/>
      <c r="CC23" s="144"/>
      <c r="CD23" s="144"/>
      <c r="CE23" s="144"/>
      <c r="CF23" s="146"/>
      <c r="CG23" s="146"/>
      <c r="CH23" s="146"/>
      <c r="CI23" s="392"/>
      <c r="CJ23" s="392"/>
      <c r="CK23" s="392"/>
      <c r="CL23" s="146"/>
      <c r="CM23" s="146"/>
      <c r="CN23" s="146"/>
      <c r="CO23" s="146"/>
      <c r="CP23" s="146"/>
    </row>
    <row r="24" spans="1:104" s="150" customFormat="1" ht="27" customHeight="1" x14ac:dyDescent="0.2">
      <c r="A24" s="147"/>
      <c r="B24" s="147"/>
      <c r="C24" s="202" t="s">
        <v>39</v>
      </c>
      <c r="D24" s="202"/>
      <c r="E24" s="386">
        <f>【入力ｼｰﾄ】支援課提出用!E24</f>
        <v>0</v>
      </c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9"/>
      <c r="AQ24" s="180">
        <f>【入力ｼｰﾄ】支援課提出用!AQ24</f>
        <v>0</v>
      </c>
      <c r="AR24" s="181">
        <f>【入力ｼｰﾄ】支援課提出用!AR24</f>
        <v>0</v>
      </c>
      <c r="AS24" s="181">
        <f>【入力ｼｰﾄ】支援課提出用!AS24</f>
        <v>0</v>
      </c>
      <c r="AT24" s="182">
        <f>【入力ｼｰﾄ】支援課提出用!AT24</f>
        <v>0</v>
      </c>
      <c r="AU24" s="180">
        <f>【入力ｼｰﾄ】支援課提出用!AU24</f>
        <v>0</v>
      </c>
      <c r="AV24" s="182">
        <f>【入力ｼｰﾄ】支援課提出用!AV24</f>
        <v>0</v>
      </c>
      <c r="AW24" s="180">
        <f>【入力ｼｰﾄ】支援課提出用!AW24</f>
        <v>0</v>
      </c>
      <c r="AX24" s="182">
        <f>【入力ｼｰﾄ】支援課提出用!AX24</f>
        <v>0</v>
      </c>
      <c r="AY24" s="500">
        <f>【入力ｼｰﾄ】支援課提出用!AY24</f>
        <v>0</v>
      </c>
      <c r="AZ24" s="501"/>
      <c r="BA24" s="501"/>
      <c r="BB24" s="501"/>
      <c r="BC24" s="501"/>
      <c r="BD24" s="502"/>
      <c r="BE24" s="503">
        <f>【入力ｼｰﾄ】支援課提出用!BE24</f>
        <v>0</v>
      </c>
      <c r="BF24" s="503"/>
      <c r="BG24" s="503"/>
      <c r="BH24" s="503"/>
      <c r="BI24" s="503"/>
      <c r="BJ24" s="503"/>
      <c r="BK24" s="390" t="str">
        <f>【入力ｼｰﾄ】支援課提出用!BK24</f>
        <v/>
      </c>
      <c r="BL24" s="390"/>
      <c r="BM24" s="390"/>
      <c r="BN24" s="390"/>
      <c r="BO24" s="390"/>
      <c r="BP24" s="390"/>
      <c r="BQ24" s="390" t="str">
        <f>【入力ｼｰﾄ】支援課提出用!BQ24</f>
        <v/>
      </c>
      <c r="BR24" s="390"/>
      <c r="BS24" s="390"/>
      <c r="BT24" s="390"/>
      <c r="BU24" s="390"/>
      <c r="BV24" s="390"/>
      <c r="BW24" s="357">
        <f>【入力ｼｰﾄ】支援課提出用!BW24</f>
        <v>0</v>
      </c>
      <c r="BX24" s="357"/>
      <c r="BY24" s="358">
        <f>【入力ｼｰﾄ】支援課提出用!BY24</f>
        <v>0</v>
      </c>
      <c r="BZ24" s="358"/>
      <c r="CA24" s="355">
        <f>【入力ｼｰﾄ】支援課提出用!CA24</f>
        <v>0</v>
      </c>
      <c r="CB24" s="355"/>
      <c r="CC24" s="147"/>
      <c r="CD24" s="147"/>
      <c r="CE24" s="147"/>
      <c r="CF24" s="149"/>
      <c r="CG24" s="149"/>
      <c r="CH24" s="149"/>
      <c r="CI24" s="149"/>
      <c r="CJ24" s="149"/>
      <c r="CK24" s="149"/>
      <c r="CL24" s="148"/>
      <c r="CM24" s="148"/>
      <c r="CN24" s="148"/>
      <c r="CO24" s="148"/>
      <c r="CP24" s="148"/>
      <c r="CQ24" s="148"/>
      <c r="CR24" s="148"/>
      <c r="CS24" s="148"/>
    </row>
    <row r="25" spans="1:104" s="145" customFormat="1" ht="12.2" customHeight="1" x14ac:dyDescent="0.15">
      <c r="A25" s="144"/>
      <c r="B25" s="144"/>
      <c r="C25" s="367" t="s">
        <v>675</v>
      </c>
      <c r="D25" s="368"/>
      <c r="E25" s="369"/>
      <c r="F25" s="370"/>
      <c r="G25" s="372" t="s">
        <v>29</v>
      </c>
      <c r="H25" s="372"/>
      <c r="I25" s="372"/>
      <c r="J25" s="372"/>
      <c r="K25" s="372"/>
      <c r="L25" s="372"/>
      <c r="M25" s="372"/>
      <c r="N25" s="372"/>
      <c r="O25" s="372"/>
      <c r="P25" s="372"/>
      <c r="Q25" s="374" t="s">
        <v>676</v>
      </c>
      <c r="R25" s="369"/>
      <c r="S25" s="369"/>
      <c r="T25" s="370"/>
      <c r="U25" s="360" t="s">
        <v>40</v>
      </c>
      <c r="V25" s="360"/>
      <c r="W25" s="360" t="s">
        <v>679</v>
      </c>
      <c r="X25" s="360"/>
      <c r="Y25" s="360" t="s">
        <v>27</v>
      </c>
      <c r="Z25" s="360"/>
      <c r="AA25" s="360"/>
      <c r="AB25" s="212" t="s">
        <v>696</v>
      </c>
      <c r="AC25" s="213"/>
      <c r="AD25" s="375" t="s">
        <v>34</v>
      </c>
      <c r="AE25" s="376"/>
      <c r="AF25" s="376"/>
      <c r="AG25" s="376"/>
      <c r="AH25" s="376"/>
      <c r="AI25" s="376"/>
      <c r="AJ25" s="376"/>
      <c r="AK25" s="376"/>
      <c r="AL25" s="376"/>
      <c r="AM25" s="376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6"/>
      <c r="AZ25" s="376"/>
      <c r="BA25" s="376"/>
      <c r="BB25" s="376"/>
      <c r="BC25" s="376"/>
      <c r="BD25" s="376"/>
      <c r="BE25" s="376"/>
      <c r="BF25" s="376"/>
      <c r="BG25" s="376"/>
      <c r="BH25" s="376"/>
      <c r="BI25" s="498"/>
      <c r="BJ25" s="499" t="s">
        <v>30</v>
      </c>
      <c r="BK25" s="384"/>
      <c r="BL25" s="384"/>
      <c r="BM25" s="384"/>
      <c r="BN25" s="384"/>
      <c r="BO25" s="384"/>
      <c r="BP25" s="384"/>
      <c r="BQ25" s="385"/>
      <c r="BR25" s="151"/>
      <c r="BS25" s="151"/>
      <c r="BT25" s="151"/>
      <c r="BU25" s="151"/>
      <c r="BV25" s="151"/>
      <c r="BW25" s="152"/>
      <c r="BX25" s="152"/>
      <c r="BY25" s="152"/>
      <c r="BZ25" s="152"/>
      <c r="CA25" s="151"/>
      <c r="CB25" s="151"/>
      <c r="CC25" s="151"/>
      <c r="CD25" s="151"/>
      <c r="CE25" s="151"/>
    </row>
    <row r="26" spans="1:104" s="145" customFormat="1" ht="12.2" customHeight="1" x14ac:dyDescent="0.15">
      <c r="A26" s="144"/>
      <c r="B26" s="144"/>
      <c r="C26" s="371"/>
      <c r="D26" s="369"/>
      <c r="E26" s="369"/>
      <c r="F26" s="370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1"/>
      <c r="R26" s="369"/>
      <c r="S26" s="369"/>
      <c r="T26" s="370"/>
      <c r="U26" s="360"/>
      <c r="V26" s="360"/>
      <c r="W26" s="360"/>
      <c r="X26" s="360"/>
      <c r="Y26" s="360"/>
      <c r="Z26" s="360"/>
      <c r="AA26" s="360"/>
      <c r="AB26" s="214"/>
      <c r="AC26" s="215"/>
      <c r="AD26" s="379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8"/>
      <c r="BJ26" s="359" t="s">
        <v>703</v>
      </c>
      <c r="BK26" s="359"/>
      <c r="BL26" s="359"/>
      <c r="BM26" s="359"/>
      <c r="BN26" s="359" t="s">
        <v>704</v>
      </c>
      <c r="BO26" s="359"/>
      <c r="BP26" s="359"/>
      <c r="BQ26" s="359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</row>
    <row r="27" spans="1:104" s="145" customFormat="1" ht="12.2" customHeight="1" x14ac:dyDescent="0.15">
      <c r="A27" s="144"/>
      <c r="B27" s="144"/>
      <c r="C27" s="364" t="s">
        <v>9</v>
      </c>
      <c r="D27" s="365"/>
      <c r="E27" s="365"/>
      <c r="F27" s="366"/>
      <c r="G27" s="363" t="s">
        <v>10</v>
      </c>
      <c r="H27" s="363"/>
      <c r="I27" s="363"/>
      <c r="J27" s="363"/>
      <c r="K27" s="363"/>
      <c r="L27" s="363" t="s">
        <v>11</v>
      </c>
      <c r="M27" s="363"/>
      <c r="N27" s="363"/>
      <c r="O27" s="363"/>
      <c r="P27" s="363"/>
      <c r="Q27" s="364" t="s">
        <v>9</v>
      </c>
      <c r="R27" s="365"/>
      <c r="S27" s="365"/>
      <c r="T27" s="366"/>
      <c r="U27" s="360"/>
      <c r="V27" s="360"/>
      <c r="W27" s="360"/>
      <c r="X27" s="360"/>
      <c r="Y27" s="360"/>
      <c r="Z27" s="360"/>
      <c r="AA27" s="360"/>
      <c r="AB27" s="216"/>
      <c r="AC27" s="217"/>
      <c r="AD27" s="380"/>
      <c r="AE27" s="381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1"/>
      <c r="AZ27" s="381"/>
      <c r="BA27" s="381"/>
      <c r="BB27" s="381"/>
      <c r="BC27" s="381"/>
      <c r="BD27" s="381"/>
      <c r="BE27" s="381"/>
      <c r="BF27" s="381"/>
      <c r="BG27" s="381"/>
      <c r="BH27" s="381"/>
      <c r="BI27" s="382"/>
      <c r="BJ27" s="359" t="s">
        <v>3</v>
      </c>
      <c r="BK27" s="359"/>
      <c r="BL27" s="359" t="s">
        <v>4</v>
      </c>
      <c r="BM27" s="359"/>
      <c r="BN27" s="359" t="s">
        <v>3</v>
      </c>
      <c r="BO27" s="359"/>
      <c r="BP27" s="359" t="s">
        <v>4</v>
      </c>
      <c r="BQ27" s="359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</row>
    <row r="28" spans="1:104" s="145" customFormat="1" ht="27" customHeight="1" x14ac:dyDescent="0.15">
      <c r="A28" s="144"/>
      <c r="B28" s="144"/>
      <c r="C28" s="361">
        <f>【入力ｼｰﾄ】支援課提出用!C28</f>
        <v>0</v>
      </c>
      <c r="D28" s="361"/>
      <c r="E28" s="361"/>
      <c r="F28" s="361"/>
      <c r="G28" s="361">
        <f>【入力ｼｰﾄ】支援課提出用!G28</f>
        <v>0</v>
      </c>
      <c r="H28" s="361"/>
      <c r="I28" s="361"/>
      <c r="J28" s="361"/>
      <c r="K28" s="361"/>
      <c r="L28" s="361">
        <f>【入力ｼｰﾄ】支援課提出用!L28</f>
        <v>0</v>
      </c>
      <c r="M28" s="361"/>
      <c r="N28" s="361"/>
      <c r="O28" s="361"/>
      <c r="P28" s="361"/>
      <c r="Q28" s="506">
        <f>【入力ｼｰﾄ】支援課提出用!Q28</f>
        <v>0</v>
      </c>
      <c r="R28" s="506"/>
      <c r="S28" s="506"/>
      <c r="T28" s="506"/>
      <c r="U28" s="507">
        <f>【入力ｼｰﾄ】支援課提出用!U28</f>
        <v>0</v>
      </c>
      <c r="V28" s="507"/>
      <c r="W28" s="507">
        <f>【入力ｼｰﾄ】支援課提出用!W28</f>
        <v>0</v>
      </c>
      <c r="X28" s="507"/>
      <c r="Y28" s="507">
        <f>【入力ｼｰﾄ】支援課提出用!Y28</f>
        <v>0</v>
      </c>
      <c r="Z28" s="507"/>
      <c r="AA28" s="507"/>
      <c r="AB28" s="508">
        <f>【入力ｼｰﾄ】支援課提出用!AB28</f>
        <v>0</v>
      </c>
      <c r="AC28" s="509"/>
      <c r="AD28" s="510">
        <f>【入力ｼｰﾄ】支援課提出用!AD28</f>
        <v>0</v>
      </c>
      <c r="AE28" s="511"/>
      <c r="AF28" s="511"/>
      <c r="AG28" s="511"/>
      <c r="AH28" s="511"/>
      <c r="AI28" s="511"/>
      <c r="AJ28" s="511"/>
      <c r="AK28" s="511"/>
      <c r="AL28" s="511"/>
      <c r="AM28" s="511"/>
      <c r="AN28" s="511"/>
      <c r="AO28" s="511"/>
      <c r="AP28" s="511"/>
      <c r="AQ28" s="511"/>
      <c r="AR28" s="511"/>
      <c r="AS28" s="511"/>
      <c r="AT28" s="511"/>
      <c r="AU28" s="511"/>
      <c r="AV28" s="511"/>
      <c r="AW28" s="511"/>
      <c r="AX28" s="511"/>
      <c r="AY28" s="511"/>
      <c r="AZ28" s="511"/>
      <c r="BA28" s="511"/>
      <c r="BB28" s="511"/>
      <c r="BC28" s="511"/>
      <c r="BD28" s="511"/>
      <c r="BE28" s="511"/>
      <c r="BF28" s="511"/>
      <c r="BG28" s="511"/>
      <c r="BH28" s="511"/>
      <c r="BI28" s="512"/>
      <c r="BJ28" s="513">
        <f>【入力ｼｰﾄ】支援課提出用!BJ28</f>
        <v>0</v>
      </c>
      <c r="BK28" s="514"/>
      <c r="BL28" s="504">
        <v>20</v>
      </c>
      <c r="BM28" s="505"/>
      <c r="BN28" s="513">
        <f>【入力ｼｰﾄ】支援課提出用!BN28</f>
        <v>0</v>
      </c>
      <c r="BO28" s="514"/>
      <c r="BP28" s="504">
        <v>20</v>
      </c>
      <c r="BQ28" s="505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</row>
    <row r="29" spans="1:104" ht="15" customHeight="1" x14ac:dyDescent="0.15">
      <c r="A29" s="118"/>
      <c r="B29" s="118"/>
      <c r="C29" s="118"/>
      <c r="D29" s="118"/>
      <c r="E29" s="118"/>
      <c r="F29" s="118"/>
      <c r="G29" s="118"/>
      <c r="H29" s="120"/>
      <c r="I29" s="118"/>
      <c r="J29" s="118"/>
      <c r="K29" s="118"/>
      <c r="L29" s="118"/>
      <c r="M29" s="118"/>
      <c r="N29" s="173" t="s">
        <v>792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20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</row>
    <row r="30" spans="1:104" s="145" customFormat="1" ht="12.75" customHeight="1" x14ac:dyDescent="0.15">
      <c r="A30" s="144"/>
      <c r="B30" s="144"/>
      <c r="C30" s="373" t="s">
        <v>41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 t="s">
        <v>5</v>
      </c>
      <c r="AR30" s="373"/>
      <c r="AS30" s="373"/>
      <c r="AT30" s="373"/>
      <c r="AU30" s="373"/>
      <c r="AV30" s="373"/>
      <c r="AW30" s="373"/>
      <c r="AX30" s="403"/>
      <c r="AY30" s="404" t="s">
        <v>28</v>
      </c>
      <c r="AZ30" s="405"/>
      <c r="BA30" s="405"/>
      <c r="BB30" s="405"/>
      <c r="BC30" s="405"/>
      <c r="BD30" s="406"/>
      <c r="BE30" s="404" t="s">
        <v>6</v>
      </c>
      <c r="BF30" s="405"/>
      <c r="BG30" s="405"/>
      <c r="BH30" s="405"/>
      <c r="BI30" s="405"/>
      <c r="BJ30" s="406"/>
      <c r="BK30" s="403" t="s">
        <v>31</v>
      </c>
      <c r="BL30" s="410"/>
      <c r="BM30" s="410"/>
      <c r="BN30" s="410"/>
      <c r="BO30" s="410"/>
      <c r="BP30" s="410"/>
      <c r="BQ30" s="410"/>
      <c r="BR30" s="410"/>
      <c r="BS30" s="410"/>
      <c r="BT30" s="410"/>
      <c r="BU30" s="410"/>
      <c r="BV30" s="411"/>
      <c r="BW30" s="393" t="s">
        <v>1</v>
      </c>
      <c r="BX30" s="393"/>
      <c r="BY30" s="393" t="s">
        <v>2</v>
      </c>
      <c r="BZ30" s="393"/>
      <c r="CA30" s="395" t="s">
        <v>701</v>
      </c>
      <c r="CB30" s="395"/>
      <c r="CC30" s="144"/>
      <c r="CD30" s="144"/>
      <c r="CE30" s="144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</row>
    <row r="31" spans="1:104" s="145" customFormat="1" ht="12.75" customHeight="1" x14ac:dyDescent="0.15">
      <c r="A31" s="144"/>
      <c r="B31" s="144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403"/>
      <c r="AY31" s="407"/>
      <c r="AZ31" s="408"/>
      <c r="BA31" s="408"/>
      <c r="BB31" s="408"/>
      <c r="BC31" s="408"/>
      <c r="BD31" s="409"/>
      <c r="BE31" s="407"/>
      <c r="BF31" s="408"/>
      <c r="BG31" s="408"/>
      <c r="BH31" s="408"/>
      <c r="BI31" s="408"/>
      <c r="BJ31" s="408"/>
      <c r="BK31" s="265" t="s">
        <v>697</v>
      </c>
      <c r="BL31" s="266"/>
      <c r="BM31" s="266"/>
      <c r="BN31" s="266"/>
      <c r="BO31" s="266"/>
      <c r="BP31" s="267"/>
      <c r="BQ31" s="265" t="s">
        <v>698</v>
      </c>
      <c r="BR31" s="266"/>
      <c r="BS31" s="266"/>
      <c r="BT31" s="266"/>
      <c r="BU31" s="266"/>
      <c r="BV31" s="267"/>
      <c r="BW31" s="401"/>
      <c r="BX31" s="393"/>
      <c r="BY31" s="393"/>
      <c r="BZ31" s="393"/>
      <c r="CA31" s="395"/>
      <c r="CB31" s="395"/>
      <c r="CC31" s="144"/>
      <c r="CD31" s="144"/>
      <c r="CE31" s="144"/>
      <c r="CF31" s="146"/>
      <c r="CG31" s="146"/>
      <c r="CH31" s="146"/>
      <c r="CI31" s="391"/>
      <c r="CJ31" s="392"/>
      <c r="CK31" s="392"/>
      <c r="CL31" s="146"/>
      <c r="CM31" s="146"/>
      <c r="CN31" s="146"/>
      <c r="CO31" s="146"/>
      <c r="CP31" s="146"/>
    </row>
    <row r="32" spans="1:104" s="145" customFormat="1" ht="18" customHeight="1" x14ac:dyDescent="0.15">
      <c r="A32" s="144"/>
      <c r="B32" s="144"/>
      <c r="C32" s="202" t="s">
        <v>38</v>
      </c>
      <c r="D32" s="202"/>
      <c r="E32" s="397">
        <f>【入力ｼｰﾄ】支援課提出用!E32</f>
        <v>0</v>
      </c>
      <c r="F32" s="398"/>
      <c r="G32" s="399">
        <f>【入力ｼｰﾄ】支援課提出用!G32</f>
        <v>0</v>
      </c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400"/>
      <c r="AQ32" s="373" t="s">
        <v>42</v>
      </c>
      <c r="AR32" s="373"/>
      <c r="AS32" s="373"/>
      <c r="AT32" s="373"/>
      <c r="AU32" s="373" t="s">
        <v>7</v>
      </c>
      <c r="AV32" s="373"/>
      <c r="AW32" s="373" t="s">
        <v>4</v>
      </c>
      <c r="AX32" s="373"/>
      <c r="AY32" s="380" t="s">
        <v>8</v>
      </c>
      <c r="AZ32" s="381"/>
      <c r="BA32" s="381"/>
      <c r="BB32" s="381"/>
      <c r="BC32" s="381"/>
      <c r="BD32" s="382"/>
      <c r="BE32" s="380" t="s">
        <v>8</v>
      </c>
      <c r="BF32" s="381"/>
      <c r="BG32" s="381"/>
      <c r="BH32" s="381"/>
      <c r="BI32" s="381"/>
      <c r="BJ32" s="381"/>
      <c r="BK32" s="218"/>
      <c r="BL32" s="219"/>
      <c r="BM32" s="219"/>
      <c r="BN32" s="219"/>
      <c r="BO32" s="219"/>
      <c r="BP32" s="247"/>
      <c r="BQ32" s="218"/>
      <c r="BR32" s="219"/>
      <c r="BS32" s="219"/>
      <c r="BT32" s="219"/>
      <c r="BU32" s="219"/>
      <c r="BV32" s="247"/>
      <c r="BW32" s="402"/>
      <c r="BX32" s="394"/>
      <c r="BY32" s="394"/>
      <c r="BZ32" s="394"/>
      <c r="CA32" s="396"/>
      <c r="CB32" s="396"/>
      <c r="CC32" s="144"/>
      <c r="CD32" s="144"/>
      <c r="CE32" s="144"/>
      <c r="CF32" s="146"/>
      <c r="CG32" s="146"/>
      <c r="CH32" s="146"/>
      <c r="CI32" s="392"/>
      <c r="CJ32" s="392"/>
      <c r="CK32" s="392"/>
      <c r="CL32" s="146"/>
      <c r="CM32" s="146"/>
      <c r="CN32" s="146"/>
      <c r="CO32" s="146"/>
      <c r="CP32" s="146"/>
    </row>
    <row r="33" spans="1:97" s="150" customFormat="1" ht="27" customHeight="1" x14ac:dyDescent="0.2">
      <c r="A33" s="147"/>
      <c r="B33" s="147"/>
      <c r="C33" s="202" t="s">
        <v>39</v>
      </c>
      <c r="D33" s="202"/>
      <c r="E33" s="386">
        <f>【入力ｼｰﾄ】支援課提出用!E33</f>
        <v>0</v>
      </c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389"/>
      <c r="AQ33" s="180">
        <f>【入力ｼｰﾄ】支援課提出用!AQ33</f>
        <v>0</v>
      </c>
      <c r="AR33" s="181">
        <f>【入力ｼｰﾄ】支援課提出用!AR33</f>
        <v>0</v>
      </c>
      <c r="AS33" s="181">
        <f>【入力ｼｰﾄ】支援課提出用!AS33</f>
        <v>0</v>
      </c>
      <c r="AT33" s="182">
        <f>【入力ｼｰﾄ】支援課提出用!AT33</f>
        <v>0</v>
      </c>
      <c r="AU33" s="180">
        <f>【入力ｼｰﾄ】支援課提出用!AU33</f>
        <v>0</v>
      </c>
      <c r="AV33" s="182">
        <f>【入力ｼｰﾄ】支援課提出用!AV33</f>
        <v>0</v>
      </c>
      <c r="AW33" s="180">
        <f>【入力ｼｰﾄ】支援課提出用!AW33</f>
        <v>0</v>
      </c>
      <c r="AX33" s="182">
        <f>【入力ｼｰﾄ】支援課提出用!AX33</f>
        <v>0</v>
      </c>
      <c r="AY33" s="500">
        <f>【入力ｼｰﾄ】支援課提出用!AY33:BD33</f>
        <v>0</v>
      </c>
      <c r="AZ33" s="501"/>
      <c r="BA33" s="501"/>
      <c r="BB33" s="501"/>
      <c r="BC33" s="501"/>
      <c r="BD33" s="502"/>
      <c r="BE33" s="503">
        <f>【入力ｼｰﾄ】支援課提出用!BE33:BJ33</f>
        <v>0</v>
      </c>
      <c r="BF33" s="503"/>
      <c r="BG33" s="503"/>
      <c r="BH33" s="503"/>
      <c r="BI33" s="503"/>
      <c r="BJ33" s="503"/>
      <c r="BK33" s="390" t="str">
        <f>【入力ｼｰﾄ】支援課提出用!BK33:BP33</f>
        <v/>
      </c>
      <c r="BL33" s="390"/>
      <c r="BM33" s="390"/>
      <c r="BN33" s="390"/>
      <c r="BO33" s="390"/>
      <c r="BP33" s="390"/>
      <c r="BQ33" s="390" t="str">
        <f>【入力ｼｰﾄ】支援課提出用!BQ33:BV33</f>
        <v/>
      </c>
      <c r="BR33" s="390"/>
      <c r="BS33" s="390"/>
      <c r="BT33" s="390"/>
      <c r="BU33" s="390"/>
      <c r="BV33" s="390"/>
      <c r="BW33" s="357">
        <f>【入力ｼｰﾄ】支援課提出用!BW33:BX33</f>
        <v>0</v>
      </c>
      <c r="BX33" s="357"/>
      <c r="BY33" s="358">
        <f>【入力ｼｰﾄ】支援課提出用!BY33:BZ33</f>
        <v>0</v>
      </c>
      <c r="BZ33" s="358"/>
      <c r="CA33" s="355">
        <f>【入力ｼｰﾄ】支援課提出用!CA33:CB33</f>
        <v>0</v>
      </c>
      <c r="CB33" s="355"/>
      <c r="CC33" s="147"/>
      <c r="CD33" s="147"/>
      <c r="CE33" s="147"/>
      <c r="CF33" s="149"/>
      <c r="CG33" s="149"/>
      <c r="CH33" s="149"/>
      <c r="CI33" s="149"/>
      <c r="CJ33" s="149"/>
      <c r="CK33" s="149"/>
      <c r="CL33" s="148"/>
      <c r="CM33" s="148"/>
      <c r="CN33" s="148"/>
      <c r="CO33" s="148"/>
      <c r="CP33" s="148"/>
      <c r="CQ33" s="148"/>
      <c r="CR33" s="148"/>
      <c r="CS33" s="148"/>
    </row>
    <row r="34" spans="1:97" s="145" customFormat="1" ht="12.2" customHeight="1" x14ac:dyDescent="0.15">
      <c r="A34" s="144"/>
      <c r="B34" s="144"/>
      <c r="C34" s="367" t="s">
        <v>675</v>
      </c>
      <c r="D34" s="368"/>
      <c r="E34" s="369"/>
      <c r="F34" s="370"/>
      <c r="G34" s="372" t="s">
        <v>29</v>
      </c>
      <c r="H34" s="372"/>
      <c r="I34" s="372"/>
      <c r="J34" s="372"/>
      <c r="K34" s="372"/>
      <c r="L34" s="372"/>
      <c r="M34" s="372"/>
      <c r="N34" s="372"/>
      <c r="O34" s="372"/>
      <c r="P34" s="372"/>
      <c r="Q34" s="374" t="s">
        <v>676</v>
      </c>
      <c r="R34" s="369"/>
      <c r="S34" s="369"/>
      <c r="T34" s="370"/>
      <c r="U34" s="360" t="s">
        <v>40</v>
      </c>
      <c r="V34" s="360"/>
      <c r="W34" s="360" t="s">
        <v>679</v>
      </c>
      <c r="X34" s="360"/>
      <c r="Y34" s="360" t="s">
        <v>27</v>
      </c>
      <c r="Z34" s="360"/>
      <c r="AA34" s="360"/>
      <c r="AB34" s="212" t="s">
        <v>696</v>
      </c>
      <c r="AC34" s="213"/>
      <c r="AD34" s="375" t="s">
        <v>34</v>
      </c>
      <c r="AE34" s="376"/>
      <c r="AF34" s="376"/>
      <c r="AG34" s="376"/>
      <c r="AH34" s="376"/>
      <c r="AI34" s="376"/>
      <c r="AJ34" s="376"/>
      <c r="AK34" s="376"/>
      <c r="AL34" s="376"/>
      <c r="AM34" s="376"/>
      <c r="AN34" s="376"/>
      <c r="AO34" s="376"/>
      <c r="AP34" s="376"/>
      <c r="AQ34" s="376"/>
      <c r="AR34" s="376"/>
      <c r="AS34" s="376"/>
      <c r="AT34" s="376"/>
      <c r="AU34" s="376"/>
      <c r="AV34" s="376"/>
      <c r="AW34" s="376"/>
      <c r="AX34" s="376"/>
      <c r="AY34" s="376"/>
      <c r="AZ34" s="376"/>
      <c r="BA34" s="376"/>
      <c r="BB34" s="376"/>
      <c r="BC34" s="376"/>
      <c r="BD34" s="376"/>
      <c r="BE34" s="376"/>
      <c r="BF34" s="376"/>
      <c r="BG34" s="376"/>
      <c r="BH34" s="376"/>
      <c r="BI34" s="498"/>
      <c r="BJ34" s="499" t="s">
        <v>30</v>
      </c>
      <c r="BK34" s="384"/>
      <c r="BL34" s="384"/>
      <c r="BM34" s="384"/>
      <c r="BN34" s="384"/>
      <c r="BO34" s="384"/>
      <c r="BP34" s="384"/>
      <c r="BQ34" s="385"/>
      <c r="BR34" s="151"/>
      <c r="BS34" s="151"/>
      <c r="BT34" s="151"/>
      <c r="BU34" s="151"/>
      <c r="BV34" s="151"/>
      <c r="BW34" s="152"/>
      <c r="BX34" s="152"/>
      <c r="BY34" s="152"/>
      <c r="BZ34" s="152"/>
      <c r="CA34" s="151"/>
      <c r="CB34" s="151"/>
      <c r="CC34" s="151"/>
      <c r="CD34" s="151"/>
      <c r="CE34" s="151"/>
    </row>
    <row r="35" spans="1:97" s="145" customFormat="1" ht="12.2" customHeight="1" x14ac:dyDescent="0.15">
      <c r="A35" s="144"/>
      <c r="B35" s="144"/>
      <c r="C35" s="371"/>
      <c r="D35" s="369"/>
      <c r="E35" s="369"/>
      <c r="F35" s="370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1"/>
      <c r="R35" s="369"/>
      <c r="S35" s="369"/>
      <c r="T35" s="370"/>
      <c r="U35" s="360"/>
      <c r="V35" s="360"/>
      <c r="W35" s="360"/>
      <c r="X35" s="360"/>
      <c r="Y35" s="360"/>
      <c r="Z35" s="360"/>
      <c r="AA35" s="360"/>
      <c r="AB35" s="214"/>
      <c r="AC35" s="215"/>
      <c r="AD35" s="379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8"/>
      <c r="BJ35" s="359" t="s">
        <v>703</v>
      </c>
      <c r="BK35" s="359"/>
      <c r="BL35" s="359"/>
      <c r="BM35" s="359"/>
      <c r="BN35" s="359" t="s">
        <v>704</v>
      </c>
      <c r="BO35" s="359"/>
      <c r="BP35" s="359"/>
      <c r="BQ35" s="359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</row>
    <row r="36" spans="1:97" s="145" customFormat="1" ht="12.2" customHeight="1" x14ac:dyDescent="0.15">
      <c r="A36" s="144"/>
      <c r="B36" s="144"/>
      <c r="C36" s="364" t="s">
        <v>9</v>
      </c>
      <c r="D36" s="365"/>
      <c r="E36" s="365"/>
      <c r="F36" s="366"/>
      <c r="G36" s="363" t="s">
        <v>10</v>
      </c>
      <c r="H36" s="363"/>
      <c r="I36" s="363"/>
      <c r="J36" s="363"/>
      <c r="K36" s="363"/>
      <c r="L36" s="363" t="s">
        <v>11</v>
      </c>
      <c r="M36" s="363"/>
      <c r="N36" s="363"/>
      <c r="O36" s="363"/>
      <c r="P36" s="363"/>
      <c r="Q36" s="364" t="s">
        <v>9</v>
      </c>
      <c r="R36" s="365"/>
      <c r="S36" s="365"/>
      <c r="T36" s="366"/>
      <c r="U36" s="360"/>
      <c r="V36" s="360"/>
      <c r="W36" s="360"/>
      <c r="X36" s="360"/>
      <c r="Y36" s="360"/>
      <c r="Z36" s="360"/>
      <c r="AA36" s="360"/>
      <c r="AB36" s="216"/>
      <c r="AC36" s="217"/>
      <c r="AD36" s="380"/>
      <c r="AE36" s="381"/>
      <c r="AF36" s="381"/>
      <c r="AG36" s="381"/>
      <c r="AH36" s="381"/>
      <c r="AI36" s="381"/>
      <c r="AJ36" s="381"/>
      <c r="AK36" s="381"/>
      <c r="AL36" s="381"/>
      <c r="AM36" s="381"/>
      <c r="AN36" s="381"/>
      <c r="AO36" s="381"/>
      <c r="AP36" s="381"/>
      <c r="AQ36" s="381"/>
      <c r="AR36" s="381"/>
      <c r="AS36" s="381"/>
      <c r="AT36" s="381"/>
      <c r="AU36" s="381"/>
      <c r="AV36" s="381"/>
      <c r="AW36" s="381"/>
      <c r="AX36" s="381"/>
      <c r="AY36" s="381"/>
      <c r="AZ36" s="381"/>
      <c r="BA36" s="381"/>
      <c r="BB36" s="381"/>
      <c r="BC36" s="381"/>
      <c r="BD36" s="381"/>
      <c r="BE36" s="381"/>
      <c r="BF36" s="381"/>
      <c r="BG36" s="381"/>
      <c r="BH36" s="381"/>
      <c r="BI36" s="382"/>
      <c r="BJ36" s="359" t="s">
        <v>3</v>
      </c>
      <c r="BK36" s="359"/>
      <c r="BL36" s="359" t="s">
        <v>4</v>
      </c>
      <c r="BM36" s="359"/>
      <c r="BN36" s="359" t="s">
        <v>3</v>
      </c>
      <c r="BO36" s="359"/>
      <c r="BP36" s="359" t="s">
        <v>4</v>
      </c>
      <c r="BQ36" s="359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</row>
    <row r="37" spans="1:97" s="145" customFormat="1" ht="27" customHeight="1" x14ac:dyDescent="0.15">
      <c r="A37" s="144"/>
      <c r="B37" s="144"/>
      <c r="C37" s="361">
        <f>【入力ｼｰﾄ】支援課提出用!C37</f>
        <v>0</v>
      </c>
      <c r="D37" s="361"/>
      <c r="E37" s="361"/>
      <c r="F37" s="361"/>
      <c r="G37" s="361">
        <f>【入力ｼｰﾄ】支援課提出用!G37</f>
        <v>0</v>
      </c>
      <c r="H37" s="361"/>
      <c r="I37" s="361"/>
      <c r="J37" s="361"/>
      <c r="K37" s="361"/>
      <c r="L37" s="361">
        <f>【入力ｼｰﾄ】支援課提出用!L37</f>
        <v>0</v>
      </c>
      <c r="M37" s="361"/>
      <c r="N37" s="361"/>
      <c r="O37" s="361"/>
      <c r="P37" s="361"/>
      <c r="Q37" s="506">
        <f>【入力ｼｰﾄ】支援課提出用!Q37</f>
        <v>0</v>
      </c>
      <c r="R37" s="506"/>
      <c r="S37" s="506"/>
      <c r="T37" s="506"/>
      <c r="U37" s="507">
        <f>【入力ｼｰﾄ】支援課提出用!U37</f>
        <v>0</v>
      </c>
      <c r="V37" s="507"/>
      <c r="W37" s="507">
        <f>【入力ｼｰﾄ】支援課提出用!W37</f>
        <v>0</v>
      </c>
      <c r="X37" s="507"/>
      <c r="Y37" s="507">
        <f>【入力ｼｰﾄ】支援課提出用!Y37</f>
        <v>0</v>
      </c>
      <c r="Z37" s="507"/>
      <c r="AA37" s="507"/>
      <c r="AB37" s="508">
        <f>【入力ｼｰﾄ】支援課提出用!AB37</f>
        <v>0</v>
      </c>
      <c r="AC37" s="509"/>
      <c r="AD37" s="510">
        <f>【入力ｼｰﾄ】支援課提出用!AD37</f>
        <v>0</v>
      </c>
      <c r="AE37" s="511"/>
      <c r="AF37" s="511"/>
      <c r="AG37" s="511"/>
      <c r="AH37" s="511"/>
      <c r="AI37" s="511"/>
      <c r="AJ37" s="511"/>
      <c r="AK37" s="511"/>
      <c r="AL37" s="511"/>
      <c r="AM37" s="511"/>
      <c r="AN37" s="511"/>
      <c r="AO37" s="511"/>
      <c r="AP37" s="511"/>
      <c r="AQ37" s="511"/>
      <c r="AR37" s="511"/>
      <c r="AS37" s="511"/>
      <c r="AT37" s="511"/>
      <c r="AU37" s="511"/>
      <c r="AV37" s="511"/>
      <c r="AW37" s="511"/>
      <c r="AX37" s="511"/>
      <c r="AY37" s="511"/>
      <c r="AZ37" s="511"/>
      <c r="BA37" s="511"/>
      <c r="BB37" s="511"/>
      <c r="BC37" s="511"/>
      <c r="BD37" s="511"/>
      <c r="BE37" s="511"/>
      <c r="BF37" s="511"/>
      <c r="BG37" s="511"/>
      <c r="BH37" s="511"/>
      <c r="BI37" s="512"/>
      <c r="BJ37" s="513">
        <f>【入力ｼｰﾄ】支援課提出用!BJ37</f>
        <v>0</v>
      </c>
      <c r="BK37" s="514"/>
      <c r="BL37" s="504">
        <v>20</v>
      </c>
      <c r="BM37" s="505"/>
      <c r="BN37" s="513">
        <f>【入力ｼｰﾄ】支援課提出用!BN37</f>
        <v>0</v>
      </c>
      <c r="BO37" s="514"/>
      <c r="BP37" s="504">
        <v>20</v>
      </c>
      <c r="BQ37" s="505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</row>
    <row r="38" spans="1:97" s="87" customFormat="1" ht="27" customHeight="1" x14ac:dyDescent="0.2">
      <c r="A38" s="84"/>
      <c r="B38" s="84"/>
      <c r="C38" s="92"/>
      <c r="D38" s="92"/>
      <c r="E38" s="92"/>
      <c r="F38" s="92"/>
      <c r="G38" s="93"/>
      <c r="H38" s="93"/>
      <c r="I38" s="93"/>
      <c r="J38" s="93"/>
      <c r="K38" s="93"/>
      <c r="L38" s="93"/>
      <c r="M38" s="93"/>
      <c r="N38" s="174" t="s">
        <v>792</v>
      </c>
      <c r="O38" s="93"/>
      <c r="P38" s="93"/>
      <c r="Q38" s="93"/>
      <c r="R38" s="93"/>
      <c r="S38" s="93"/>
      <c r="T38" s="93"/>
      <c r="U38" s="71"/>
      <c r="V38" s="71"/>
      <c r="W38" s="73"/>
      <c r="X38" s="73"/>
      <c r="Y38" s="71"/>
      <c r="Z38" s="71"/>
      <c r="AA38" s="71"/>
      <c r="AB38" s="73"/>
      <c r="AC38" s="73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5"/>
      <c r="BK38" s="96"/>
      <c r="BL38" s="97"/>
      <c r="BM38" s="96"/>
      <c r="BN38" s="95"/>
      <c r="BO38" s="96"/>
      <c r="BP38" s="97"/>
      <c r="BQ38" s="96"/>
    </row>
    <row r="39" spans="1:97" ht="5.25" customHeight="1" thickBot="1" x14ac:dyDescent="0.2"/>
    <row r="40" spans="1:97" ht="20.100000000000001" customHeight="1" x14ac:dyDescent="0.15">
      <c r="C40" s="253" t="s">
        <v>680</v>
      </c>
      <c r="D40" s="254"/>
      <c r="E40" s="254"/>
      <c r="F40" s="254"/>
      <c r="G40" s="254"/>
      <c r="H40" s="254"/>
      <c r="I40" s="254"/>
      <c r="J40" s="255"/>
      <c r="BR40" s="354"/>
      <c r="BS40" s="354"/>
      <c r="BT40" s="354"/>
      <c r="BU40" s="98"/>
      <c r="BV40" s="354"/>
      <c r="BW40" s="354"/>
      <c r="BX40" s="354"/>
      <c r="BY40" s="98"/>
      <c r="BZ40" s="354"/>
      <c r="CA40" s="354"/>
      <c r="CB40" s="354"/>
    </row>
    <row r="41" spans="1:97" ht="20.100000000000001" customHeight="1" thickBot="1" x14ac:dyDescent="0.2">
      <c r="C41" s="256"/>
      <c r="D41" s="257"/>
      <c r="E41" s="257"/>
      <c r="F41" s="257"/>
      <c r="G41" s="257"/>
      <c r="H41" s="257"/>
      <c r="I41" s="257"/>
      <c r="J41" s="258"/>
      <c r="BR41" s="354"/>
      <c r="BS41" s="354"/>
      <c r="BT41" s="354"/>
      <c r="BU41" s="98"/>
      <c r="BV41" s="354"/>
      <c r="BW41" s="354"/>
      <c r="BX41" s="354"/>
      <c r="BY41" s="98"/>
      <c r="BZ41" s="354"/>
      <c r="CA41" s="354"/>
      <c r="CB41" s="354"/>
    </row>
    <row r="42" spans="1:97" ht="20.100000000000001" customHeight="1" x14ac:dyDescent="0.15">
      <c r="BR42" s="350"/>
      <c r="BS42" s="351"/>
      <c r="BT42" s="351"/>
      <c r="BU42" s="99"/>
      <c r="BV42" s="350"/>
      <c r="BW42" s="351"/>
      <c r="BX42" s="351"/>
      <c r="BY42" s="99"/>
      <c r="BZ42" s="350"/>
      <c r="CA42" s="351"/>
      <c r="CB42" s="351"/>
    </row>
    <row r="43" spans="1:97" ht="20.100000000000001" customHeight="1" x14ac:dyDescent="0.15">
      <c r="BR43" s="351"/>
      <c r="BS43" s="351"/>
      <c r="BT43" s="351"/>
      <c r="BV43" s="351"/>
      <c r="BW43" s="351"/>
      <c r="BX43" s="351"/>
      <c r="BZ43" s="351"/>
      <c r="CA43" s="351"/>
      <c r="CB43" s="351"/>
    </row>
  </sheetData>
  <sheetProtection sheet="1" selectLockedCells="1"/>
  <mergeCells count="222">
    <mergeCell ref="BY15:BZ15"/>
    <mergeCell ref="CA15:CB15"/>
    <mergeCell ref="BP19:BQ19"/>
    <mergeCell ref="BW24:BX24"/>
    <mergeCell ref="BY24:BZ24"/>
    <mergeCell ref="CA24:CB24"/>
    <mergeCell ref="BP28:BQ28"/>
    <mergeCell ref="CA30:CB32"/>
    <mergeCell ref="L6:O6"/>
    <mergeCell ref="L7:O7"/>
    <mergeCell ref="L8:O9"/>
    <mergeCell ref="AQ14:AT14"/>
    <mergeCell ref="AU14:AV14"/>
    <mergeCell ref="AW14:AX14"/>
    <mergeCell ref="AY14:BD14"/>
    <mergeCell ref="BE14:BJ14"/>
    <mergeCell ref="BJ18:BK18"/>
    <mergeCell ref="BL18:BM18"/>
    <mergeCell ref="BW15:BX15"/>
    <mergeCell ref="BK13:BP14"/>
    <mergeCell ref="BQ13:BV14"/>
    <mergeCell ref="BN17:BQ17"/>
    <mergeCell ref="BN18:BO18"/>
    <mergeCell ref="BP18:BQ18"/>
    <mergeCell ref="A6:A12"/>
    <mergeCell ref="C6:F6"/>
    <mergeCell ref="G6:H7"/>
    <mergeCell ref="I6:K6"/>
    <mergeCell ref="P6:Q6"/>
    <mergeCell ref="A1:H1"/>
    <mergeCell ref="AC1:BC2"/>
    <mergeCell ref="BR1:BX1"/>
    <mergeCell ref="C7:F7"/>
    <mergeCell ref="I7:K7"/>
    <mergeCell ref="P7:Q7"/>
    <mergeCell ref="BC7:BD7"/>
    <mergeCell ref="BE7:CA7"/>
    <mergeCell ref="BZ1:CB1"/>
    <mergeCell ref="BU2:BV2"/>
    <mergeCell ref="BX2:BY2"/>
    <mergeCell ref="CA2:CB2"/>
    <mergeCell ref="CG3:CI3"/>
    <mergeCell ref="CJ3:CL3"/>
    <mergeCell ref="BC5:BD5"/>
    <mergeCell ref="BE5:BZ5"/>
    <mergeCell ref="BC9:BE9"/>
    <mergeCell ref="BF9:BV9"/>
    <mergeCell ref="BX9:BY9"/>
    <mergeCell ref="C12:AP13"/>
    <mergeCell ref="AQ12:AX13"/>
    <mergeCell ref="AY12:BD13"/>
    <mergeCell ref="BE12:BJ13"/>
    <mergeCell ref="BK12:BV12"/>
    <mergeCell ref="BW12:BX14"/>
    <mergeCell ref="BY12:BZ14"/>
    <mergeCell ref="C8:F9"/>
    <mergeCell ref="G8:H9"/>
    <mergeCell ref="I8:K9"/>
    <mergeCell ref="P8:Q9"/>
    <mergeCell ref="R8:AZ9"/>
    <mergeCell ref="CA12:CB14"/>
    <mergeCell ref="CI13:CK14"/>
    <mergeCell ref="C14:D14"/>
    <mergeCell ref="E14:F14"/>
    <mergeCell ref="G14:AP14"/>
    <mergeCell ref="AB16:AC18"/>
    <mergeCell ref="AD16:BI18"/>
    <mergeCell ref="BJ16:BQ16"/>
    <mergeCell ref="BJ17:BM17"/>
    <mergeCell ref="C15:D15"/>
    <mergeCell ref="E15:AP15"/>
    <mergeCell ref="AY15:BD15"/>
    <mergeCell ref="BE15:BJ15"/>
    <mergeCell ref="BK15:BP15"/>
    <mergeCell ref="BQ15:BV15"/>
    <mergeCell ref="U16:V18"/>
    <mergeCell ref="W16:X18"/>
    <mergeCell ref="Y16:AA18"/>
    <mergeCell ref="C18:F18"/>
    <mergeCell ref="G18:K18"/>
    <mergeCell ref="L18:P18"/>
    <mergeCell ref="Q18:T18"/>
    <mergeCell ref="C16:F17"/>
    <mergeCell ref="G16:P17"/>
    <mergeCell ref="Q16:T17"/>
    <mergeCell ref="AB19:AC19"/>
    <mergeCell ref="AD19:BI19"/>
    <mergeCell ref="BJ19:BK19"/>
    <mergeCell ref="BN19:BO19"/>
    <mergeCell ref="C19:F19"/>
    <mergeCell ref="G19:K19"/>
    <mergeCell ref="L19:P19"/>
    <mergeCell ref="Q19:T19"/>
    <mergeCell ref="U19:V19"/>
    <mergeCell ref="W19:X19"/>
    <mergeCell ref="BL19:BM19"/>
    <mergeCell ref="Y19:AA19"/>
    <mergeCell ref="CI22:CK23"/>
    <mergeCell ref="C23:D23"/>
    <mergeCell ref="E23:F23"/>
    <mergeCell ref="G23:AP23"/>
    <mergeCell ref="AQ23:AT23"/>
    <mergeCell ref="AU23:AV23"/>
    <mergeCell ref="BW21:BX23"/>
    <mergeCell ref="AW23:AX23"/>
    <mergeCell ref="AY23:BD23"/>
    <mergeCell ref="BE23:BJ23"/>
    <mergeCell ref="BY21:BZ23"/>
    <mergeCell ref="CA21:CB23"/>
    <mergeCell ref="C21:AP22"/>
    <mergeCell ref="AQ21:AX22"/>
    <mergeCell ref="AY21:BD22"/>
    <mergeCell ref="BE21:BJ22"/>
    <mergeCell ref="BK21:BV21"/>
    <mergeCell ref="BK22:BP23"/>
    <mergeCell ref="BQ22:BV23"/>
    <mergeCell ref="BQ24:BV24"/>
    <mergeCell ref="BN26:BQ26"/>
    <mergeCell ref="C28:F28"/>
    <mergeCell ref="G28:K28"/>
    <mergeCell ref="L28:P28"/>
    <mergeCell ref="Q28:T28"/>
    <mergeCell ref="U28:V28"/>
    <mergeCell ref="Y28:AA28"/>
    <mergeCell ref="W28:X28"/>
    <mergeCell ref="AB25:AC27"/>
    <mergeCell ref="AD25:BI27"/>
    <mergeCell ref="C27:F27"/>
    <mergeCell ref="G27:K27"/>
    <mergeCell ref="L27:P27"/>
    <mergeCell ref="Q27:T27"/>
    <mergeCell ref="Q25:T26"/>
    <mergeCell ref="BJ27:BK27"/>
    <mergeCell ref="BL27:BM27"/>
    <mergeCell ref="BN27:BO27"/>
    <mergeCell ref="BP27:BQ27"/>
    <mergeCell ref="Y25:AA27"/>
    <mergeCell ref="U25:V27"/>
    <mergeCell ref="W25:X27"/>
    <mergeCell ref="C25:F26"/>
    <mergeCell ref="AB28:AC28"/>
    <mergeCell ref="AD28:BI28"/>
    <mergeCell ref="BJ28:BK28"/>
    <mergeCell ref="BL28:BM28"/>
    <mergeCell ref="BN28:BO28"/>
    <mergeCell ref="C24:D24"/>
    <mergeCell ref="E24:AP24"/>
    <mergeCell ref="AY24:BD24"/>
    <mergeCell ref="BE24:BJ24"/>
    <mergeCell ref="BK24:BP24"/>
    <mergeCell ref="G25:P26"/>
    <mergeCell ref="BJ25:BQ25"/>
    <mergeCell ref="BJ26:BM26"/>
    <mergeCell ref="Q34:T35"/>
    <mergeCell ref="CI31:CK32"/>
    <mergeCell ref="C32:D32"/>
    <mergeCell ref="E32:F32"/>
    <mergeCell ref="G32:AP32"/>
    <mergeCell ref="AQ32:AT32"/>
    <mergeCell ref="AU32:AV32"/>
    <mergeCell ref="C30:AP31"/>
    <mergeCell ref="BW33:BX33"/>
    <mergeCell ref="BY33:BZ33"/>
    <mergeCell ref="CA33:CB33"/>
    <mergeCell ref="AQ30:AX31"/>
    <mergeCell ref="AY30:BD31"/>
    <mergeCell ref="BE30:BJ31"/>
    <mergeCell ref="BK30:BV30"/>
    <mergeCell ref="BW30:BX32"/>
    <mergeCell ref="AW32:AX32"/>
    <mergeCell ref="AY32:BD32"/>
    <mergeCell ref="BE32:BJ32"/>
    <mergeCell ref="BY30:BZ32"/>
    <mergeCell ref="BK31:BP32"/>
    <mergeCell ref="BQ31:BV32"/>
    <mergeCell ref="BZ42:CB43"/>
    <mergeCell ref="BP37:BQ37"/>
    <mergeCell ref="C37:F37"/>
    <mergeCell ref="G37:K37"/>
    <mergeCell ref="L37:P37"/>
    <mergeCell ref="Q37:T37"/>
    <mergeCell ref="U37:V37"/>
    <mergeCell ref="W37:X37"/>
    <mergeCell ref="Y37:AA37"/>
    <mergeCell ref="AB37:AC37"/>
    <mergeCell ref="AD37:BI37"/>
    <mergeCell ref="BR40:BT40"/>
    <mergeCell ref="BV40:BX40"/>
    <mergeCell ref="BZ40:CB40"/>
    <mergeCell ref="BR41:BT41"/>
    <mergeCell ref="BV41:BX41"/>
    <mergeCell ref="BZ41:CB41"/>
    <mergeCell ref="BJ37:BK37"/>
    <mergeCell ref="BL37:BM37"/>
    <mergeCell ref="BN37:BO37"/>
    <mergeCell ref="C40:J41"/>
    <mergeCell ref="BR42:BT43"/>
    <mergeCell ref="BV42:BX43"/>
    <mergeCell ref="AB34:AC36"/>
    <mergeCell ref="AD34:BI36"/>
    <mergeCell ref="BJ34:BQ34"/>
    <mergeCell ref="BJ35:BM35"/>
    <mergeCell ref="C33:D33"/>
    <mergeCell ref="E33:AP33"/>
    <mergeCell ref="AY33:BD33"/>
    <mergeCell ref="BE33:BJ33"/>
    <mergeCell ref="BK33:BP33"/>
    <mergeCell ref="BQ33:BV33"/>
    <mergeCell ref="U34:V36"/>
    <mergeCell ref="W34:X36"/>
    <mergeCell ref="BN35:BQ35"/>
    <mergeCell ref="C36:F36"/>
    <mergeCell ref="G36:K36"/>
    <mergeCell ref="L36:P36"/>
    <mergeCell ref="Q36:T36"/>
    <mergeCell ref="BJ36:BK36"/>
    <mergeCell ref="BL36:BM36"/>
    <mergeCell ref="BN36:BO36"/>
    <mergeCell ref="BP36:BQ36"/>
    <mergeCell ref="Y34:AA36"/>
    <mergeCell ref="C34:F35"/>
    <mergeCell ref="G34:P35"/>
  </mergeCells>
  <phoneticPr fontId="2"/>
  <printOptions horizontalCentered="1" verticalCentered="1"/>
  <pageMargins left="0.23622047244094491" right="0.23622047244094491" top="0.39370078740157483" bottom="0.19685039370078741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98"/>
  <sheetViews>
    <sheetView workbookViewId="0">
      <selection activeCell="H8" sqref="H8"/>
    </sheetView>
  </sheetViews>
  <sheetFormatPr defaultRowHeight="13.5" x14ac:dyDescent="0.15"/>
  <cols>
    <col min="1" max="1" width="9" style="114"/>
    <col min="2" max="5" width="9" style="101"/>
    <col min="6" max="6" width="7.375" style="101" customWidth="1"/>
    <col min="7" max="9" width="9" style="101"/>
    <col min="10" max="10" width="9" style="115"/>
    <col min="11" max="12" width="9" style="101"/>
    <col min="13" max="13" width="5.125" style="101" customWidth="1"/>
    <col min="14" max="21" width="9" style="101"/>
    <col min="22" max="22" width="21" style="102" customWidth="1"/>
    <col min="23" max="16384" width="9" style="101"/>
  </cols>
  <sheetData>
    <row r="1" spans="1:25" s="110" customFormat="1" ht="14.25" thickBot="1" x14ac:dyDescent="0.2">
      <c r="A1" s="541" t="s">
        <v>534</v>
      </c>
      <c r="B1" s="543"/>
      <c r="E1" s="541" t="s">
        <v>536</v>
      </c>
      <c r="F1" s="543"/>
      <c r="H1" s="111" t="s">
        <v>545</v>
      </c>
      <c r="J1" s="111" t="s">
        <v>546</v>
      </c>
      <c r="N1" s="111" t="s">
        <v>547</v>
      </c>
      <c r="Q1" s="111" t="s">
        <v>782</v>
      </c>
      <c r="U1" s="541" t="s">
        <v>662</v>
      </c>
      <c r="V1" s="542"/>
      <c r="W1" s="543"/>
      <c r="Y1" s="111" t="s">
        <v>568</v>
      </c>
    </row>
    <row r="2" spans="1:25" ht="13.7" customHeight="1" x14ac:dyDescent="0.15">
      <c r="A2" s="112" t="s">
        <v>573</v>
      </c>
      <c r="J2" s="101"/>
      <c r="V2" s="110"/>
      <c r="W2" s="110"/>
    </row>
    <row r="3" spans="1:25" ht="13.7" customHeight="1" x14ac:dyDescent="0.15">
      <c r="A3" s="112" t="s">
        <v>535</v>
      </c>
      <c r="E3" s="101" t="s">
        <v>537</v>
      </c>
      <c r="H3" s="101" t="s">
        <v>706</v>
      </c>
      <c r="J3" s="101" t="s">
        <v>717</v>
      </c>
      <c r="N3" s="101" t="s">
        <v>784</v>
      </c>
      <c r="Q3" s="101" t="s">
        <v>553</v>
      </c>
      <c r="U3" s="101" t="s">
        <v>663</v>
      </c>
      <c r="V3" s="102" t="s">
        <v>672</v>
      </c>
      <c r="W3" s="101">
        <v>100</v>
      </c>
      <c r="Y3" s="101" t="s">
        <v>574</v>
      </c>
    </row>
    <row r="4" spans="1:25" ht="13.7" customHeight="1" x14ac:dyDescent="0.15">
      <c r="A4" s="113" t="s">
        <v>570</v>
      </c>
      <c r="E4" s="101" t="s">
        <v>538</v>
      </c>
      <c r="H4" s="101" t="s">
        <v>707</v>
      </c>
      <c r="J4" s="101" t="s">
        <v>716</v>
      </c>
      <c r="N4" s="101" t="s">
        <v>788</v>
      </c>
      <c r="Q4" s="101" t="s">
        <v>554</v>
      </c>
      <c r="V4" s="102" t="s">
        <v>576</v>
      </c>
      <c r="W4" s="101">
        <v>101</v>
      </c>
      <c r="Y4" s="101" t="s">
        <v>575</v>
      </c>
    </row>
    <row r="5" spans="1:25" ht="13.7" customHeight="1" x14ac:dyDescent="0.15">
      <c r="A5" s="112" t="s">
        <v>572</v>
      </c>
      <c r="E5" s="101" t="s">
        <v>539</v>
      </c>
      <c r="H5" s="101" t="s">
        <v>708</v>
      </c>
      <c r="J5" s="101" t="s">
        <v>718</v>
      </c>
      <c r="N5" s="101" t="s">
        <v>548</v>
      </c>
      <c r="Q5" s="101" t="s">
        <v>681</v>
      </c>
      <c r="V5" s="102" t="s">
        <v>577</v>
      </c>
      <c r="W5" s="101">
        <v>102</v>
      </c>
    </row>
    <row r="6" spans="1:25" ht="13.7" customHeight="1" x14ac:dyDescent="0.15">
      <c r="A6" s="112" t="s">
        <v>571</v>
      </c>
      <c r="E6" s="101" t="s">
        <v>540</v>
      </c>
      <c r="H6" s="101" t="s">
        <v>709</v>
      </c>
      <c r="J6" s="101" t="s">
        <v>713</v>
      </c>
      <c r="N6" s="101" t="s">
        <v>549</v>
      </c>
      <c r="Q6" s="101" t="s">
        <v>682</v>
      </c>
      <c r="V6" s="102" t="s">
        <v>578</v>
      </c>
      <c r="W6" s="101">
        <v>103</v>
      </c>
    </row>
    <row r="7" spans="1:25" ht="13.7" customHeight="1" x14ac:dyDescent="0.15">
      <c r="E7" s="101" t="s">
        <v>541</v>
      </c>
      <c r="H7" s="101" t="s">
        <v>710</v>
      </c>
      <c r="J7" s="101" t="s">
        <v>714</v>
      </c>
      <c r="N7" s="101" t="s">
        <v>550</v>
      </c>
      <c r="Q7" s="101" t="s">
        <v>555</v>
      </c>
      <c r="V7" s="102" t="s">
        <v>673</v>
      </c>
      <c r="W7" s="101">
        <v>104</v>
      </c>
    </row>
    <row r="8" spans="1:25" x14ac:dyDescent="0.15">
      <c r="A8" s="100" t="s">
        <v>456</v>
      </c>
      <c r="E8" s="101" t="s">
        <v>542</v>
      </c>
      <c r="H8" s="101" t="s">
        <v>711</v>
      </c>
      <c r="J8" s="101" t="s">
        <v>715</v>
      </c>
      <c r="N8" s="101" t="s">
        <v>551</v>
      </c>
      <c r="Q8" s="101" t="s">
        <v>556</v>
      </c>
      <c r="V8" s="102" t="s">
        <v>579</v>
      </c>
      <c r="W8" s="101">
        <v>105</v>
      </c>
    </row>
    <row r="9" spans="1:25" x14ac:dyDescent="0.15">
      <c r="A9" s="100" t="s">
        <v>457</v>
      </c>
      <c r="E9" s="101" t="s">
        <v>543</v>
      </c>
      <c r="H9" s="101" t="s">
        <v>712</v>
      </c>
      <c r="J9" s="101" t="s">
        <v>719</v>
      </c>
      <c r="N9" s="101" t="s">
        <v>552</v>
      </c>
      <c r="V9" s="102" t="s">
        <v>580</v>
      </c>
      <c r="W9" s="101">
        <v>106</v>
      </c>
    </row>
    <row r="10" spans="1:25" x14ac:dyDescent="0.15">
      <c r="A10" s="100" t="s">
        <v>458</v>
      </c>
      <c r="E10" s="101" t="s">
        <v>544</v>
      </c>
      <c r="H10" s="101" t="s">
        <v>726</v>
      </c>
      <c r="J10" s="101" t="s">
        <v>720</v>
      </c>
      <c r="N10" s="101" t="s">
        <v>785</v>
      </c>
      <c r="V10" s="102" t="s">
        <v>581</v>
      </c>
      <c r="W10" s="101">
        <v>107</v>
      </c>
    </row>
    <row r="11" spans="1:25" x14ac:dyDescent="0.15">
      <c r="A11" s="100" t="s">
        <v>459</v>
      </c>
      <c r="H11" s="101" t="s">
        <v>727</v>
      </c>
      <c r="J11" s="101" t="s">
        <v>721</v>
      </c>
      <c r="N11" s="101" t="s">
        <v>786</v>
      </c>
      <c r="V11" s="102" t="s">
        <v>582</v>
      </c>
      <c r="W11" s="101">
        <v>108</v>
      </c>
    </row>
    <row r="12" spans="1:25" x14ac:dyDescent="0.15">
      <c r="A12" s="100" t="s">
        <v>460</v>
      </c>
      <c r="H12" s="101" t="s">
        <v>728</v>
      </c>
      <c r="J12" s="101" t="s">
        <v>722</v>
      </c>
      <c r="N12" s="101" t="s">
        <v>787</v>
      </c>
      <c r="V12" s="102" t="s">
        <v>583</v>
      </c>
      <c r="W12" s="101">
        <v>109</v>
      </c>
    </row>
    <row r="13" spans="1:25" x14ac:dyDescent="0.15">
      <c r="A13" s="100" t="s">
        <v>461</v>
      </c>
      <c r="H13" s="101" t="s">
        <v>729</v>
      </c>
      <c r="J13" s="101" t="s">
        <v>723</v>
      </c>
      <c r="V13" s="102" t="s">
        <v>584</v>
      </c>
      <c r="W13" s="101">
        <v>110</v>
      </c>
    </row>
    <row r="14" spans="1:25" x14ac:dyDescent="0.15">
      <c r="A14" s="100" t="s">
        <v>462</v>
      </c>
      <c r="H14" s="101" t="s">
        <v>730</v>
      </c>
      <c r="J14" s="101" t="s">
        <v>724</v>
      </c>
      <c r="V14" s="102" t="s">
        <v>585</v>
      </c>
      <c r="W14" s="101">
        <v>111</v>
      </c>
    </row>
    <row r="15" spans="1:25" x14ac:dyDescent="0.15">
      <c r="A15" s="100" t="s">
        <v>463</v>
      </c>
      <c r="H15" s="101" t="s">
        <v>731</v>
      </c>
      <c r="J15" s="101" t="s">
        <v>725</v>
      </c>
      <c r="V15" s="102" t="s">
        <v>586</v>
      </c>
      <c r="W15" s="101">
        <v>112</v>
      </c>
    </row>
    <row r="16" spans="1:25" x14ac:dyDescent="0.15">
      <c r="A16" s="100" t="s">
        <v>464</v>
      </c>
      <c r="H16" s="101" t="s">
        <v>732</v>
      </c>
      <c r="V16" s="102" t="s">
        <v>587</v>
      </c>
      <c r="W16" s="101">
        <v>113</v>
      </c>
    </row>
    <row r="17" spans="1:23" x14ac:dyDescent="0.15">
      <c r="A17" s="100" t="s">
        <v>465</v>
      </c>
      <c r="H17" s="101" t="s">
        <v>733</v>
      </c>
      <c r="V17" s="102" t="s">
        <v>588</v>
      </c>
      <c r="W17" s="101">
        <v>114</v>
      </c>
    </row>
    <row r="18" spans="1:23" x14ac:dyDescent="0.15">
      <c r="A18" s="100" t="s">
        <v>466</v>
      </c>
      <c r="H18" s="101" t="s">
        <v>734</v>
      </c>
      <c r="V18" s="102" t="s">
        <v>589</v>
      </c>
      <c r="W18" s="101">
        <v>115</v>
      </c>
    </row>
    <row r="19" spans="1:23" x14ac:dyDescent="0.15">
      <c r="A19" s="100" t="s">
        <v>467</v>
      </c>
      <c r="H19" s="101" t="s">
        <v>735</v>
      </c>
      <c r="V19" s="102" t="s">
        <v>590</v>
      </c>
      <c r="W19" s="101">
        <v>116</v>
      </c>
    </row>
    <row r="20" spans="1:23" x14ac:dyDescent="0.15">
      <c r="A20" s="100" t="s">
        <v>468</v>
      </c>
      <c r="H20" s="101" t="s">
        <v>736</v>
      </c>
      <c r="V20" s="102" t="s">
        <v>591</v>
      </c>
      <c r="W20" s="101">
        <v>117</v>
      </c>
    </row>
    <row r="21" spans="1:23" x14ac:dyDescent="0.15">
      <c r="A21" s="100" t="s">
        <v>469</v>
      </c>
      <c r="H21" s="101" t="s">
        <v>737</v>
      </c>
      <c r="V21" s="102" t="s">
        <v>592</v>
      </c>
      <c r="W21" s="101">
        <v>118</v>
      </c>
    </row>
    <row r="22" spans="1:23" x14ac:dyDescent="0.15">
      <c r="A22" s="100" t="s">
        <v>470</v>
      </c>
      <c r="H22" s="101" t="s">
        <v>738</v>
      </c>
      <c r="V22" s="102" t="s">
        <v>593</v>
      </c>
      <c r="W22" s="101">
        <v>119</v>
      </c>
    </row>
    <row r="23" spans="1:23" x14ac:dyDescent="0.15">
      <c r="A23" s="100" t="s">
        <v>471</v>
      </c>
      <c r="H23" s="101" t="s">
        <v>739</v>
      </c>
      <c r="V23" s="102" t="s">
        <v>594</v>
      </c>
      <c r="W23" s="101">
        <v>120</v>
      </c>
    </row>
    <row r="24" spans="1:23" x14ac:dyDescent="0.15">
      <c r="A24" s="100" t="s">
        <v>472</v>
      </c>
      <c r="H24" s="101" t="s">
        <v>740</v>
      </c>
      <c r="V24" s="102" t="s">
        <v>595</v>
      </c>
      <c r="W24" s="101">
        <v>121</v>
      </c>
    </row>
    <row r="25" spans="1:23" x14ac:dyDescent="0.15">
      <c r="A25" s="100" t="s">
        <v>473</v>
      </c>
      <c r="H25" s="101" t="s">
        <v>741</v>
      </c>
      <c r="V25" s="102" t="s">
        <v>596</v>
      </c>
      <c r="W25" s="101">
        <v>122</v>
      </c>
    </row>
    <row r="26" spans="1:23" x14ac:dyDescent="0.15">
      <c r="A26" s="100" t="s">
        <v>474</v>
      </c>
      <c r="H26" s="101" t="s">
        <v>742</v>
      </c>
      <c r="V26" s="102" t="s">
        <v>597</v>
      </c>
      <c r="W26" s="101">
        <v>123</v>
      </c>
    </row>
    <row r="27" spans="1:23" x14ac:dyDescent="0.15">
      <c r="A27" s="100" t="s">
        <v>475</v>
      </c>
      <c r="H27" s="101" t="s">
        <v>743</v>
      </c>
      <c r="V27" s="102" t="s">
        <v>598</v>
      </c>
      <c r="W27" s="101">
        <v>124</v>
      </c>
    </row>
    <row r="28" spans="1:23" x14ac:dyDescent="0.15">
      <c r="A28" s="100" t="s">
        <v>476</v>
      </c>
      <c r="H28" s="101" t="s">
        <v>744</v>
      </c>
      <c r="V28" s="102" t="s">
        <v>599</v>
      </c>
      <c r="W28" s="101">
        <v>125</v>
      </c>
    </row>
    <row r="29" spans="1:23" x14ac:dyDescent="0.15">
      <c r="A29" s="100" t="s">
        <v>477</v>
      </c>
      <c r="H29" s="101" t="s">
        <v>746</v>
      </c>
      <c r="V29" s="102" t="s">
        <v>600</v>
      </c>
      <c r="W29" s="101">
        <v>126</v>
      </c>
    </row>
    <row r="30" spans="1:23" x14ac:dyDescent="0.15">
      <c r="A30" s="100" t="s">
        <v>478</v>
      </c>
      <c r="H30" s="101" t="s">
        <v>745</v>
      </c>
      <c r="V30" s="102" t="s">
        <v>601</v>
      </c>
      <c r="W30" s="101">
        <v>127</v>
      </c>
    </row>
    <row r="31" spans="1:23" x14ac:dyDescent="0.15">
      <c r="A31" s="100" t="s">
        <v>479</v>
      </c>
      <c r="H31" s="101" t="s">
        <v>747</v>
      </c>
      <c r="V31" s="102" t="s">
        <v>602</v>
      </c>
      <c r="W31" s="101">
        <v>128</v>
      </c>
    </row>
    <row r="32" spans="1:23" x14ac:dyDescent="0.15">
      <c r="A32" s="100" t="s">
        <v>480</v>
      </c>
      <c r="H32" s="101" t="s">
        <v>748</v>
      </c>
      <c r="V32" s="102" t="s">
        <v>603</v>
      </c>
      <c r="W32" s="101">
        <v>129</v>
      </c>
    </row>
    <row r="33" spans="1:23" ht="14.25" customHeight="1" x14ac:dyDescent="0.15">
      <c r="A33" s="100" t="s">
        <v>481</v>
      </c>
      <c r="H33" s="101" t="s">
        <v>749</v>
      </c>
      <c r="V33" s="102" t="s">
        <v>690</v>
      </c>
      <c r="W33" s="101">
        <v>130</v>
      </c>
    </row>
    <row r="34" spans="1:23" x14ac:dyDescent="0.15">
      <c r="A34" s="100" t="s">
        <v>482</v>
      </c>
      <c r="H34" s="101" t="s">
        <v>750</v>
      </c>
      <c r="V34" s="102" t="s">
        <v>691</v>
      </c>
      <c r="W34" s="101">
        <v>131</v>
      </c>
    </row>
    <row r="35" spans="1:23" x14ac:dyDescent="0.15">
      <c r="A35" s="100" t="s">
        <v>483</v>
      </c>
      <c r="H35" s="101" t="s">
        <v>751</v>
      </c>
      <c r="V35" s="102" t="s">
        <v>692</v>
      </c>
      <c r="W35" s="101">
        <v>132</v>
      </c>
    </row>
    <row r="36" spans="1:23" x14ac:dyDescent="0.15">
      <c r="A36" s="100" t="s">
        <v>484</v>
      </c>
      <c r="H36" s="101" t="s">
        <v>752</v>
      </c>
      <c r="U36" s="101" t="s">
        <v>664</v>
      </c>
      <c r="V36" s="102" t="s">
        <v>604</v>
      </c>
      <c r="W36" s="101">
        <v>200</v>
      </c>
    </row>
    <row r="37" spans="1:23" x14ac:dyDescent="0.15">
      <c r="A37" s="100" t="s">
        <v>485</v>
      </c>
      <c r="H37" s="101" t="s">
        <v>753</v>
      </c>
      <c r="V37" s="102" t="s">
        <v>605</v>
      </c>
      <c r="W37" s="101">
        <v>201</v>
      </c>
    </row>
    <row r="38" spans="1:23" x14ac:dyDescent="0.15">
      <c r="A38" s="100" t="s">
        <v>486</v>
      </c>
      <c r="H38" s="101" t="s">
        <v>754</v>
      </c>
      <c r="V38" s="102" t="s">
        <v>606</v>
      </c>
      <c r="W38" s="101">
        <v>202</v>
      </c>
    </row>
    <row r="39" spans="1:23" x14ac:dyDescent="0.15">
      <c r="A39" s="100" t="s">
        <v>487</v>
      </c>
      <c r="H39" s="101" t="s">
        <v>755</v>
      </c>
      <c r="V39" s="102" t="s">
        <v>607</v>
      </c>
      <c r="W39" s="101">
        <v>203</v>
      </c>
    </row>
    <row r="40" spans="1:23" x14ac:dyDescent="0.15">
      <c r="A40" s="100" t="s">
        <v>488</v>
      </c>
      <c r="H40" s="101" t="s">
        <v>756</v>
      </c>
      <c r="V40" s="102" t="s">
        <v>608</v>
      </c>
      <c r="W40" s="101">
        <v>204</v>
      </c>
    </row>
    <row r="41" spans="1:23" x14ac:dyDescent="0.15">
      <c r="A41" s="100" t="s">
        <v>489</v>
      </c>
      <c r="H41" s="101" t="s">
        <v>757</v>
      </c>
      <c r="V41" s="102" t="s">
        <v>609</v>
      </c>
      <c r="W41" s="101">
        <v>205</v>
      </c>
    </row>
    <row r="42" spans="1:23" x14ac:dyDescent="0.15">
      <c r="A42" s="100" t="s">
        <v>490</v>
      </c>
      <c r="H42" s="101" t="s">
        <v>758</v>
      </c>
      <c r="V42" s="102" t="s">
        <v>610</v>
      </c>
      <c r="W42" s="101">
        <v>206</v>
      </c>
    </row>
    <row r="43" spans="1:23" x14ac:dyDescent="0.15">
      <c r="A43" s="100" t="s">
        <v>491</v>
      </c>
      <c r="H43" s="101" t="s">
        <v>759</v>
      </c>
      <c r="V43" s="102" t="s">
        <v>611</v>
      </c>
      <c r="W43" s="101">
        <v>207</v>
      </c>
    </row>
    <row r="44" spans="1:23" x14ac:dyDescent="0.15">
      <c r="A44" s="100" t="s">
        <v>492</v>
      </c>
      <c r="H44" s="101" t="s">
        <v>760</v>
      </c>
      <c r="V44" s="102" t="s">
        <v>612</v>
      </c>
      <c r="W44" s="101">
        <v>208</v>
      </c>
    </row>
    <row r="45" spans="1:23" x14ac:dyDescent="0.15">
      <c r="A45" s="100" t="s">
        <v>493</v>
      </c>
      <c r="H45" s="101" t="s">
        <v>761</v>
      </c>
      <c r="V45" s="102" t="s">
        <v>613</v>
      </c>
      <c r="W45" s="101">
        <v>209</v>
      </c>
    </row>
    <row r="46" spans="1:23" x14ac:dyDescent="0.15">
      <c r="A46" s="100" t="s">
        <v>494</v>
      </c>
      <c r="H46" s="101" t="s">
        <v>762</v>
      </c>
      <c r="V46" s="102" t="s">
        <v>614</v>
      </c>
      <c r="W46" s="101">
        <v>210</v>
      </c>
    </row>
    <row r="47" spans="1:23" x14ac:dyDescent="0.15">
      <c r="A47" s="100" t="s">
        <v>495</v>
      </c>
      <c r="H47" s="101" t="s">
        <v>763</v>
      </c>
      <c r="V47" s="102" t="s">
        <v>615</v>
      </c>
      <c r="W47" s="101">
        <v>211</v>
      </c>
    </row>
    <row r="48" spans="1:23" x14ac:dyDescent="0.15">
      <c r="A48" s="100" t="s">
        <v>496</v>
      </c>
      <c r="H48" s="101" t="s">
        <v>765</v>
      </c>
      <c r="V48" s="102" t="s">
        <v>616</v>
      </c>
      <c r="W48" s="101">
        <v>212</v>
      </c>
    </row>
    <row r="49" spans="1:23" x14ac:dyDescent="0.15">
      <c r="A49" s="100" t="s">
        <v>497</v>
      </c>
      <c r="H49" s="101" t="s">
        <v>766</v>
      </c>
      <c r="V49" s="102" t="s">
        <v>617</v>
      </c>
      <c r="W49" s="101">
        <v>213</v>
      </c>
    </row>
    <row r="50" spans="1:23" x14ac:dyDescent="0.15">
      <c r="A50" s="100" t="s">
        <v>498</v>
      </c>
      <c r="H50" s="101" t="s">
        <v>764</v>
      </c>
      <c r="V50" s="102" t="s">
        <v>693</v>
      </c>
      <c r="W50" s="101">
        <v>214</v>
      </c>
    </row>
    <row r="51" spans="1:23" x14ac:dyDescent="0.15">
      <c r="A51" s="100" t="s">
        <v>499</v>
      </c>
      <c r="H51" s="101" t="s">
        <v>767</v>
      </c>
      <c r="V51" s="102" t="s">
        <v>694</v>
      </c>
      <c r="W51" s="101">
        <v>215</v>
      </c>
    </row>
    <row r="52" spans="1:23" x14ac:dyDescent="0.15">
      <c r="A52" s="100" t="s">
        <v>500</v>
      </c>
      <c r="H52" s="101" t="s">
        <v>768</v>
      </c>
      <c r="U52" s="101" t="s">
        <v>665</v>
      </c>
      <c r="V52" s="102" t="s">
        <v>618</v>
      </c>
      <c r="W52" s="101">
        <v>300</v>
      </c>
    </row>
    <row r="53" spans="1:23" x14ac:dyDescent="0.15">
      <c r="A53" s="100" t="s">
        <v>501</v>
      </c>
      <c r="H53" s="101" t="s">
        <v>769</v>
      </c>
      <c r="V53" s="102" t="s">
        <v>619</v>
      </c>
      <c r="W53" s="101">
        <v>301</v>
      </c>
    </row>
    <row r="54" spans="1:23" x14ac:dyDescent="0.15">
      <c r="A54" s="100" t="s">
        <v>502</v>
      </c>
      <c r="H54" s="101" t="s">
        <v>770</v>
      </c>
      <c r="V54" s="102" t="s">
        <v>620</v>
      </c>
      <c r="W54" s="101">
        <v>302</v>
      </c>
    </row>
    <row r="55" spans="1:23" x14ac:dyDescent="0.15">
      <c r="A55" s="100" t="s">
        <v>503</v>
      </c>
      <c r="H55" s="101" t="s">
        <v>771</v>
      </c>
      <c r="V55" s="102" t="s">
        <v>621</v>
      </c>
      <c r="W55" s="101">
        <v>303</v>
      </c>
    </row>
    <row r="56" spans="1:23" x14ac:dyDescent="0.15">
      <c r="A56" s="100" t="s">
        <v>504</v>
      </c>
      <c r="H56" s="101" t="s">
        <v>772</v>
      </c>
      <c r="V56" s="102" t="s">
        <v>622</v>
      </c>
      <c r="W56" s="101">
        <v>304</v>
      </c>
    </row>
    <row r="57" spans="1:23" x14ac:dyDescent="0.15">
      <c r="A57" s="100" t="s">
        <v>505</v>
      </c>
      <c r="H57" s="101" t="s">
        <v>773</v>
      </c>
      <c r="V57" s="102" t="s">
        <v>623</v>
      </c>
      <c r="W57" s="101">
        <v>305</v>
      </c>
    </row>
    <row r="58" spans="1:23" x14ac:dyDescent="0.15">
      <c r="A58" s="100" t="s">
        <v>506</v>
      </c>
      <c r="H58" s="101" t="s">
        <v>774</v>
      </c>
      <c r="V58" s="102" t="s">
        <v>624</v>
      </c>
      <c r="W58" s="101">
        <v>306</v>
      </c>
    </row>
    <row r="59" spans="1:23" x14ac:dyDescent="0.15">
      <c r="A59" s="100" t="s">
        <v>507</v>
      </c>
      <c r="H59" s="101" t="s">
        <v>775</v>
      </c>
      <c r="V59" s="102" t="s">
        <v>625</v>
      </c>
      <c r="W59" s="101">
        <v>307</v>
      </c>
    </row>
    <row r="60" spans="1:23" x14ac:dyDescent="0.15">
      <c r="A60" s="100" t="s">
        <v>508</v>
      </c>
      <c r="H60" s="101" t="s">
        <v>776</v>
      </c>
      <c r="V60" s="102" t="s">
        <v>626</v>
      </c>
      <c r="W60" s="101">
        <v>308</v>
      </c>
    </row>
    <row r="61" spans="1:23" x14ac:dyDescent="0.15">
      <c r="A61" s="100" t="s">
        <v>790</v>
      </c>
      <c r="H61" s="101" t="s">
        <v>777</v>
      </c>
      <c r="U61" s="101" t="s">
        <v>666</v>
      </c>
      <c r="V61" s="102" t="s">
        <v>627</v>
      </c>
      <c r="W61" s="101">
        <v>400</v>
      </c>
    </row>
    <row r="62" spans="1:23" x14ac:dyDescent="0.15">
      <c r="A62" s="100" t="s">
        <v>509</v>
      </c>
      <c r="H62" s="101" t="s">
        <v>778</v>
      </c>
      <c r="V62" s="102" t="s">
        <v>628</v>
      </c>
      <c r="W62" s="101">
        <v>401</v>
      </c>
    </row>
    <row r="63" spans="1:23" x14ac:dyDescent="0.15">
      <c r="A63" s="100" t="s">
        <v>510</v>
      </c>
      <c r="H63" s="101" t="s">
        <v>779</v>
      </c>
      <c r="V63" s="102" t="s">
        <v>629</v>
      </c>
      <c r="W63" s="101">
        <v>402</v>
      </c>
    </row>
    <row r="64" spans="1:23" x14ac:dyDescent="0.15">
      <c r="A64" s="100" t="s">
        <v>511</v>
      </c>
      <c r="H64" s="101" t="s">
        <v>780</v>
      </c>
      <c r="V64" s="102" t="s">
        <v>630</v>
      </c>
      <c r="W64" s="101">
        <v>403</v>
      </c>
    </row>
    <row r="65" spans="1:23" x14ac:dyDescent="0.15">
      <c r="A65" s="100" t="s">
        <v>512</v>
      </c>
      <c r="H65" s="101" t="s">
        <v>781</v>
      </c>
      <c r="V65" s="102" t="s">
        <v>631</v>
      </c>
      <c r="W65" s="101">
        <v>404</v>
      </c>
    </row>
    <row r="66" spans="1:23" x14ac:dyDescent="0.15">
      <c r="A66" s="100" t="s">
        <v>513</v>
      </c>
      <c r="V66" s="102" t="s">
        <v>632</v>
      </c>
      <c r="W66" s="101">
        <v>405</v>
      </c>
    </row>
    <row r="67" spans="1:23" x14ac:dyDescent="0.15">
      <c r="A67" s="100" t="s">
        <v>514</v>
      </c>
      <c r="V67" s="102" t="s">
        <v>633</v>
      </c>
      <c r="W67" s="101">
        <v>406</v>
      </c>
    </row>
    <row r="68" spans="1:23" x14ac:dyDescent="0.15">
      <c r="A68" s="100" t="s">
        <v>515</v>
      </c>
      <c r="V68" s="102" t="s">
        <v>634</v>
      </c>
      <c r="W68" s="101">
        <v>407</v>
      </c>
    </row>
    <row r="69" spans="1:23" x14ac:dyDescent="0.15">
      <c r="A69" s="100" t="s">
        <v>516</v>
      </c>
      <c r="V69" s="102" t="s">
        <v>635</v>
      </c>
      <c r="W69" s="101">
        <v>408</v>
      </c>
    </row>
    <row r="70" spans="1:23" x14ac:dyDescent="0.15">
      <c r="A70" s="100" t="s">
        <v>517</v>
      </c>
      <c r="V70" s="102" t="s">
        <v>636</v>
      </c>
      <c r="W70" s="101">
        <v>409</v>
      </c>
    </row>
    <row r="71" spans="1:23" x14ac:dyDescent="0.15">
      <c r="A71" s="100" t="s">
        <v>518</v>
      </c>
      <c r="V71" s="102" t="s">
        <v>637</v>
      </c>
      <c r="W71" s="101">
        <v>410</v>
      </c>
    </row>
    <row r="72" spans="1:23" ht="14.25" customHeight="1" x14ac:dyDescent="0.15">
      <c r="A72" s="100" t="s">
        <v>519</v>
      </c>
      <c r="U72" s="101" t="s">
        <v>667</v>
      </c>
      <c r="V72" s="102" t="s">
        <v>638</v>
      </c>
      <c r="W72" s="101">
        <v>500</v>
      </c>
    </row>
    <row r="73" spans="1:23" x14ac:dyDescent="0.15">
      <c r="A73" s="100" t="s">
        <v>520</v>
      </c>
      <c r="U73" s="101" t="s">
        <v>668</v>
      </c>
      <c r="V73" s="102" t="s">
        <v>639</v>
      </c>
      <c r="W73" s="101">
        <v>600</v>
      </c>
    </row>
    <row r="74" spans="1:23" x14ac:dyDescent="0.15">
      <c r="A74" s="100" t="s">
        <v>521</v>
      </c>
      <c r="V74" s="102" t="s">
        <v>640</v>
      </c>
      <c r="W74" s="101">
        <v>601</v>
      </c>
    </row>
    <row r="75" spans="1:23" x14ac:dyDescent="0.15">
      <c r="A75" s="100" t="s">
        <v>522</v>
      </c>
      <c r="V75" s="102" t="s">
        <v>641</v>
      </c>
      <c r="W75" s="101">
        <v>602</v>
      </c>
    </row>
    <row r="76" spans="1:23" x14ac:dyDescent="0.15">
      <c r="A76" s="100" t="s">
        <v>523</v>
      </c>
      <c r="V76" s="102" t="s">
        <v>642</v>
      </c>
      <c r="W76" s="101">
        <v>603</v>
      </c>
    </row>
    <row r="77" spans="1:23" x14ac:dyDescent="0.15">
      <c r="A77" s="100" t="s">
        <v>524</v>
      </c>
      <c r="V77" s="102" t="s">
        <v>643</v>
      </c>
      <c r="W77" s="101">
        <v>604</v>
      </c>
    </row>
    <row r="78" spans="1:23" x14ac:dyDescent="0.15">
      <c r="A78" s="100" t="s">
        <v>525</v>
      </c>
      <c r="V78" s="102" t="s">
        <v>644</v>
      </c>
      <c r="W78" s="101">
        <v>605</v>
      </c>
    </row>
    <row r="79" spans="1:23" x14ac:dyDescent="0.15">
      <c r="A79" s="100" t="s">
        <v>526</v>
      </c>
      <c r="V79" s="102" t="s">
        <v>645</v>
      </c>
      <c r="W79" s="101">
        <v>606</v>
      </c>
    </row>
    <row r="80" spans="1:23" x14ac:dyDescent="0.15">
      <c r="A80" s="100" t="s">
        <v>527</v>
      </c>
      <c r="V80" s="102" t="s">
        <v>646</v>
      </c>
      <c r="W80" s="101">
        <v>607</v>
      </c>
    </row>
    <row r="81" spans="1:23" x14ac:dyDescent="0.15">
      <c r="A81" s="100" t="s">
        <v>528</v>
      </c>
      <c r="V81" s="102" t="s">
        <v>647</v>
      </c>
      <c r="W81" s="101">
        <v>608</v>
      </c>
    </row>
    <row r="82" spans="1:23" x14ac:dyDescent="0.15">
      <c r="A82" s="100" t="s">
        <v>529</v>
      </c>
      <c r="V82" s="102" t="s">
        <v>648</v>
      </c>
      <c r="W82" s="101">
        <v>609</v>
      </c>
    </row>
    <row r="83" spans="1:23" x14ac:dyDescent="0.15">
      <c r="A83" s="100" t="s">
        <v>530</v>
      </c>
      <c r="V83" s="102" t="s">
        <v>649</v>
      </c>
      <c r="W83" s="101">
        <v>653</v>
      </c>
    </row>
    <row r="84" spans="1:23" x14ac:dyDescent="0.15">
      <c r="A84" s="100" t="s">
        <v>531</v>
      </c>
      <c r="V84" s="102" t="s">
        <v>650</v>
      </c>
      <c r="W84" s="101">
        <v>662</v>
      </c>
    </row>
    <row r="85" spans="1:23" x14ac:dyDescent="0.15">
      <c r="A85" s="100" t="s">
        <v>532</v>
      </c>
      <c r="V85" s="102" t="s">
        <v>651</v>
      </c>
      <c r="W85" s="101">
        <v>663</v>
      </c>
    </row>
    <row r="86" spans="1:23" x14ac:dyDescent="0.15">
      <c r="A86" s="100" t="s">
        <v>533</v>
      </c>
      <c r="V86" s="102" t="s">
        <v>652</v>
      </c>
      <c r="W86" s="101">
        <v>664</v>
      </c>
    </row>
    <row r="87" spans="1:23" x14ac:dyDescent="0.15">
      <c r="A87" s="101" t="s">
        <v>45</v>
      </c>
      <c r="V87" s="102" t="s">
        <v>653</v>
      </c>
      <c r="W87" s="101">
        <v>665</v>
      </c>
    </row>
    <row r="88" spans="1:23" x14ac:dyDescent="0.15">
      <c r="A88" s="101" t="s">
        <v>46</v>
      </c>
      <c r="V88" s="102" t="s">
        <v>654</v>
      </c>
      <c r="W88" s="101">
        <v>666</v>
      </c>
    </row>
    <row r="89" spans="1:23" x14ac:dyDescent="0.15">
      <c r="A89" s="101" t="s">
        <v>47</v>
      </c>
      <c r="V89" s="102" t="s">
        <v>655</v>
      </c>
      <c r="W89" s="101">
        <v>667</v>
      </c>
    </row>
    <row r="90" spans="1:23" x14ac:dyDescent="0.15">
      <c r="A90" s="101" t="s">
        <v>48</v>
      </c>
      <c r="V90" s="102" t="s">
        <v>656</v>
      </c>
      <c r="W90" s="101">
        <v>668</v>
      </c>
    </row>
    <row r="91" spans="1:23" x14ac:dyDescent="0.15">
      <c r="A91" s="101" t="s">
        <v>49</v>
      </c>
      <c r="U91" s="101" t="s">
        <v>669</v>
      </c>
      <c r="V91" s="102" t="s">
        <v>657</v>
      </c>
      <c r="W91" s="101">
        <v>704</v>
      </c>
    </row>
    <row r="92" spans="1:23" x14ac:dyDescent="0.15">
      <c r="A92" s="101" t="s">
        <v>50</v>
      </c>
      <c r="V92" s="102" t="s">
        <v>658</v>
      </c>
      <c r="W92" s="101">
        <v>706</v>
      </c>
    </row>
    <row r="93" spans="1:23" x14ac:dyDescent="0.15">
      <c r="A93" s="101" t="s">
        <v>51</v>
      </c>
      <c r="V93" s="102" t="s">
        <v>659</v>
      </c>
      <c r="W93" s="101">
        <v>710</v>
      </c>
    </row>
    <row r="94" spans="1:23" x14ac:dyDescent="0.15">
      <c r="A94" s="101" t="s">
        <v>52</v>
      </c>
      <c r="U94" s="101" t="s">
        <v>670</v>
      </c>
      <c r="V94" s="102" t="s">
        <v>660</v>
      </c>
      <c r="W94" s="101">
        <v>800</v>
      </c>
    </row>
    <row r="95" spans="1:23" x14ac:dyDescent="0.15">
      <c r="A95" s="101" t="s">
        <v>53</v>
      </c>
      <c r="U95" s="101" t="s">
        <v>671</v>
      </c>
      <c r="V95" s="102" t="s">
        <v>661</v>
      </c>
      <c r="W95" s="101">
        <v>900</v>
      </c>
    </row>
    <row r="96" spans="1:23" x14ac:dyDescent="0.15">
      <c r="A96" s="101" t="s">
        <v>54</v>
      </c>
    </row>
    <row r="97" spans="1:1" x14ac:dyDescent="0.15">
      <c r="A97" s="101" t="s">
        <v>55</v>
      </c>
    </row>
    <row r="98" spans="1:1" x14ac:dyDescent="0.15">
      <c r="A98" s="101" t="s">
        <v>56</v>
      </c>
    </row>
    <row r="99" spans="1:1" x14ac:dyDescent="0.15">
      <c r="A99" s="101" t="s">
        <v>57</v>
      </c>
    </row>
    <row r="100" spans="1:1" x14ac:dyDescent="0.15">
      <c r="A100" s="101" t="s">
        <v>58</v>
      </c>
    </row>
    <row r="101" spans="1:1" x14ac:dyDescent="0.15">
      <c r="A101" s="101" t="s">
        <v>59</v>
      </c>
    </row>
    <row r="102" spans="1:1" x14ac:dyDescent="0.15">
      <c r="A102" s="101" t="s">
        <v>60</v>
      </c>
    </row>
    <row r="103" spans="1:1" x14ac:dyDescent="0.15">
      <c r="A103" s="101" t="s">
        <v>61</v>
      </c>
    </row>
    <row r="104" spans="1:1" x14ac:dyDescent="0.15">
      <c r="A104" s="101" t="s">
        <v>62</v>
      </c>
    </row>
    <row r="105" spans="1:1" x14ac:dyDescent="0.15">
      <c r="A105" s="101" t="s">
        <v>63</v>
      </c>
    </row>
    <row r="106" spans="1:1" x14ac:dyDescent="0.15">
      <c r="A106" s="101" t="s">
        <v>64</v>
      </c>
    </row>
    <row r="107" spans="1:1" x14ac:dyDescent="0.15">
      <c r="A107" s="101" t="s">
        <v>65</v>
      </c>
    </row>
    <row r="108" spans="1:1" x14ac:dyDescent="0.15">
      <c r="A108" s="101" t="s">
        <v>66</v>
      </c>
    </row>
    <row r="109" spans="1:1" x14ac:dyDescent="0.15">
      <c r="A109" s="101" t="s">
        <v>67</v>
      </c>
    </row>
    <row r="110" spans="1:1" x14ac:dyDescent="0.15">
      <c r="A110" s="101" t="s">
        <v>68</v>
      </c>
    </row>
    <row r="111" spans="1:1" x14ac:dyDescent="0.15">
      <c r="A111" s="101" t="s">
        <v>69</v>
      </c>
    </row>
    <row r="112" spans="1:1" x14ac:dyDescent="0.15">
      <c r="A112" s="101" t="s">
        <v>70</v>
      </c>
    </row>
    <row r="113" spans="1:1" x14ac:dyDescent="0.15">
      <c r="A113" s="101" t="s">
        <v>71</v>
      </c>
    </row>
    <row r="114" spans="1:1" x14ac:dyDescent="0.15">
      <c r="A114" s="101" t="s">
        <v>72</v>
      </c>
    </row>
    <row r="115" spans="1:1" x14ac:dyDescent="0.15">
      <c r="A115" s="101" t="s">
        <v>73</v>
      </c>
    </row>
    <row r="116" spans="1:1" x14ac:dyDescent="0.15">
      <c r="A116" s="101" t="s">
        <v>74</v>
      </c>
    </row>
    <row r="117" spans="1:1" x14ac:dyDescent="0.15">
      <c r="A117" s="101" t="s">
        <v>75</v>
      </c>
    </row>
    <row r="118" spans="1:1" x14ac:dyDescent="0.15">
      <c r="A118" s="101" t="s">
        <v>76</v>
      </c>
    </row>
    <row r="119" spans="1:1" x14ac:dyDescent="0.15">
      <c r="A119" s="101" t="s">
        <v>77</v>
      </c>
    </row>
    <row r="120" spans="1:1" x14ac:dyDescent="0.15">
      <c r="A120" s="101" t="s">
        <v>78</v>
      </c>
    </row>
    <row r="121" spans="1:1" x14ac:dyDescent="0.15">
      <c r="A121" s="101" t="s">
        <v>79</v>
      </c>
    </row>
    <row r="122" spans="1:1" x14ac:dyDescent="0.15">
      <c r="A122" s="101" t="s">
        <v>80</v>
      </c>
    </row>
    <row r="123" spans="1:1" x14ac:dyDescent="0.15">
      <c r="A123" s="101" t="s">
        <v>81</v>
      </c>
    </row>
    <row r="124" spans="1:1" x14ac:dyDescent="0.15">
      <c r="A124" s="101" t="s">
        <v>82</v>
      </c>
    </row>
    <row r="125" spans="1:1" x14ac:dyDescent="0.15">
      <c r="A125" s="101" t="s">
        <v>83</v>
      </c>
    </row>
    <row r="126" spans="1:1" x14ac:dyDescent="0.15">
      <c r="A126" s="101" t="s">
        <v>84</v>
      </c>
    </row>
    <row r="127" spans="1:1" x14ac:dyDescent="0.15">
      <c r="A127" s="101" t="s">
        <v>85</v>
      </c>
    </row>
    <row r="128" spans="1:1" x14ac:dyDescent="0.15">
      <c r="A128" s="101" t="s">
        <v>86</v>
      </c>
    </row>
    <row r="129" spans="1:1" x14ac:dyDescent="0.15">
      <c r="A129" s="101" t="s">
        <v>87</v>
      </c>
    </row>
    <row r="130" spans="1:1" x14ac:dyDescent="0.15">
      <c r="A130" s="101" t="s">
        <v>88</v>
      </c>
    </row>
    <row r="131" spans="1:1" x14ac:dyDescent="0.15">
      <c r="A131" s="101" t="s">
        <v>89</v>
      </c>
    </row>
    <row r="132" spans="1:1" x14ac:dyDescent="0.15">
      <c r="A132" s="101" t="s">
        <v>90</v>
      </c>
    </row>
    <row r="133" spans="1:1" x14ac:dyDescent="0.15">
      <c r="A133" s="101" t="s">
        <v>91</v>
      </c>
    </row>
    <row r="134" spans="1:1" x14ac:dyDescent="0.15">
      <c r="A134" s="101" t="s">
        <v>92</v>
      </c>
    </row>
    <row r="135" spans="1:1" x14ac:dyDescent="0.15">
      <c r="A135" s="101" t="s">
        <v>93</v>
      </c>
    </row>
    <row r="136" spans="1:1" x14ac:dyDescent="0.15">
      <c r="A136" s="101" t="s">
        <v>94</v>
      </c>
    </row>
    <row r="137" spans="1:1" x14ac:dyDescent="0.15">
      <c r="A137" s="101" t="s">
        <v>95</v>
      </c>
    </row>
    <row r="138" spans="1:1" x14ac:dyDescent="0.15">
      <c r="A138" s="101" t="s">
        <v>96</v>
      </c>
    </row>
    <row r="139" spans="1:1" x14ac:dyDescent="0.15">
      <c r="A139" s="101" t="s">
        <v>97</v>
      </c>
    </row>
    <row r="140" spans="1:1" x14ac:dyDescent="0.15">
      <c r="A140" s="101" t="s">
        <v>98</v>
      </c>
    </row>
    <row r="141" spans="1:1" x14ac:dyDescent="0.15">
      <c r="A141" s="101" t="s">
        <v>99</v>
      </c>
    </row>
    <row r="142" spans="1:1" x14ac:dyDescent="0.15">
      <c r="A142" s="101" t="s">
        <v>100</v>
      </c>
    </row>
    <row r="143" spans="1:1" x14ac:dyDescent="0.15">
      <c r="A143" s="101" t="s">
        <v>101</v>
      </c>
    </row>
    <row r="144" spans="1:1" x14ac:dyDescent="0.15">
      <c r="A144" s="101" t="s">
        <v>102</v>
      </c>
    </row>
    <row r="145" spans="1:1" x14ac:dyDescent="0.15">
      <c r="A145" s="101" t="s">
        <v>103</v>
      </c>
    </row>
    <row r="146" spans="1:1" x14ac:dyDescent="0.15">
      <c r="A146" s="101" t="s">
        <v>104</v>
      </c>
    </row>
    <row r="147" spans="1:1" x14ac:dyDescent="0.15">
      <c r="A147" s="101" t="s">
        <v>105</v>
      </c>
    </row>
    <row r="148" spans="1:1" x14ac:dyDescent="0.15">
      <c r="A148" s="101" t="s">
        <v>106</v>
      </c>
    </row>
    <row r="149" spans="1:1" x14ac:dyDescent="0.15">
      <c r="A149" s="101" t="s">
        <v>107</v>
      </c>
    </row>
    <row r="150" spans="1:1" x14ac:dyDescent="0.15">
      <c r="A150" s="101" t="s">
        <v>108</v>
      </c>
    </row>
    <row r="151" spans="1:1" x14ac:dyDescent="0.15">
      <c r="A151" s="101" t="s">
        <v>109</v>
      </c>
    </row>
    <row r="152" spans="1:1" x14ac:dyDescent="0.15">
      <c r="A152" s="101" t="s">
        <v>110</v>
      </c>
    </row>
    <row r="153" spans="1:1" x14ac:dyDescent="0.15">
      <c r="A153" s="101" t="s">
        <v>111</v>
      </c>
    </row>
    <row r="154" spans="1:1" x14ac:dyDescent="0.15">
      <c r="A154" s="101" t="s">
        <v>112</v>
      </c>
    </row>
    <row r="155" spans="1:1" x14ac:dyDescent="0.15">
      <c r="A155" s="101" t="s">
        <v>113</v>
      </c>
    </row>
    <row r="156" spans="1:1" x14ac:dyDescent="0.15">
      <c r="A156" s="101" t="s">
        <v>114</v>
      </c>
    </row>
    <row r="157" spans="1:1" x14ac:dyDescent="0.15">
      <c r="A157" s="101" t="s">
        <v>115</v>
      </c>
    </row>
    <row r="158" spans="1:1" x14ac:dyDescent="0.15">
      <c r="A158" s="101" t="s">
        <v>116</v>
      </c>
    </row>
    <row r="159" spans="1:1" x14ac:dyDescent="0.15">
      <c r="A159" s="101" t="s">
        <v>117</v>
      </c>
    </row>
    <row r="160" spans="1:1" x14ac:dyDescent="0.15">
      <c r="A160" s="101" t="s">
        <v>118</v>
      </c>
    </row>
    <row r="161" spans="1:1" x14ac:dyDescent="0.15">
      <c r="A161" s="101" t="s">
        <v>119</v>
      </c>
    </row>
    <row r="162" spans="1:1" x14ac:dyDescent="0.15">
      <c r="A162" s="101" t="s">
        <v>120</v>
      </c>
    </row>
    <row r="163" spans="1:1" x14ac:dyDescent="0.15">
      <c r="A163" s="101" t="s">
        <v>121</v>
      </c>
    </row>
    <row r="164" spans="1:1" x14ac:dyDescent="0.15">
      <c r="A164" s="101" t="s">
        <v>122</v>
      </c>
    </row>
    <row r="165" spans="1:1" x14ac:dyDescent="0.15">
      <c r="A165" s="101" t="s">
        <v>123</v>
      </c>
    </row>
    <row r="166" spans="1:1" x14ac:dyDescent="0.15">
      <c r="A166" s="101" t="s">
        <v>124</v>
      </c>
    </row>
    <row r="167" spans="1:1" x14ac:dyDescent="0.15">
      <c r="A167" s="101" t="s">
        <v>125</v>
      </c>
    </row>
    <row r="168" spans="1:1" x14ac:dyDescent="0.15">
      <c r="A168" s="101" t="s">
        <v>126</v>
      </c>
    </row>
    <row r="169" spans="1:1" x14ac:dyDescent="0.15">
      <c r="A169" s="101" t="s">
        <v>127</v>
      </c>
    </row>
    <row r="170" spans="1:1" x14ac:dyDescent="0.15">
      <c r="A170" s="101" t="s">
        <v>128</v>
      </c>
    </row>
    <row r="171" spans="1:1" x14ac:dyDescent="0.15">
      <c r="A171" s="101" t="s">
        <v>129</v>
      </c>
    </row>
    <row r="172" spans="1:1" x14ac:dyDescent="0.15">
      <c r="A172" s="101" t="s">
        <v>130</v>
      </c>
    </row>
    <row r="173" spans="1:1" x14ac:dyDescent="0.15">
      <c r="A173" s="101" t="s">
        <v>131</v>
      </c>
    </row>
    <row r="174" spans="1:1" x14ac:dyDescent="0.15">
      <c r="A174" s="101" t="s">
        <v>132</v>
      </c>
    </row>
    <row r="175" spans="1:1" x14ac:dyDescent="0.15">
      <c r="A175" s="101" t="s">
        <v>133</v>
      </c>
    </row>
    <row r="176" spans="1:1" x14ac:dyDescent="0.15">
      <c r="A176" s="101" t="s">
        <v>134</v>
      </c>
    </row>
    <row r="177" spans="1:1" x14ac:dyDescent="0.15">
      <c r="A177" s="101" t="s">
        <v>135</v>
      </c>
    </row>
    <row r="178" spans="1:1" x14ac:dyDescent="0.15">
      <c r="A178" s="101" t="s">
        <v>136</v>
      </c>
    </row>
    <row r="179" spans="1:1" x14ac:dyDescent="0.15">
      <c r="A179" s="101" t="s">
        <v>137</v>
      </c>
    </row>
    <row r="180" spans="1:1" x14ac:dyDescent="0.15">
      <c r="A180" s="101" t="s">
        <v>138</v>
      </c>
    </row>
    <row r="181" spans="1:1" x14ac:dyDescent="0.15">
      <c r="A181" s="101" t="s">
        <v>139</v>
      </c>
    </row>
    <row r="182" spans="1:1" x14ac:dyDescent="0.15">
      <c r="A182" s="101" t="s">
        <v>140</v>
      </c>
    </row>
    <row r="183" spans="1:1" x14ac:dyDescent="0.15">
      <c r="A183" s="101" t="s">
        <v>141</v>
      </c>
    </row>
    <row r="184" spans="1:1" x14ac:dyDescent="0.15">
      <c r="A184" s="101" t="s">
        <v>142</v>
      </c>
    </row>
    <row r="185" spans="1:1" x14ac:dyDescent="0.15">
      <c r="A185" s="101" t="s">
        <v>143</v>
      </c>
    </row>
    <row r="186" spans="1:1" x14ac:dyDescent="0.15">
      <c r="A186" s="101" t="s">
        <v>144</v>
      </c>
    </row>
    <row r="187" spans="1:1" x14ac:dyDescent="0.15">
      <c r="A187" s="101" t="s">
        <v>145</v>
      </c>
    </row>
    <row r="188" spans="1:1" x14ac:dyDescent="0.15">
      <c r="A188" s="101" t="s">
        <v>146</v>
      </c>
    </row>
    <row r="189" spans="1:1" x14ac:dyDescent="0.15">
      <c r="A189" s="101" t="s">
        <v>147</v>
      </c>
    </row>
    <row r="190" spans="1:1" x14ac:dyDescent="0.15">
      <c r="A190" s="101" t="s">
        <v>148</v>
      </c>
    </row>
    <row r="191" spans="1:1" x14ac:dyDescent="0.15">
      <c r="A191" s="101" t="s">
        <v>149</v>
      </c>
    </row>
    <row r="192" spans="1:1" x14ac:dyDescent="0.15">
      <c r="A192" s="101" t="s">
        <v>150</v>
      </c>
    </row>
    <row r="193" spans="1:1" x14ac:dyDescent="0.15">
      <c r="A193" s="101" t="s">
        <v>151</v>
      </c>
    </row>
    <row r="194" spans="1:1" x14ac:dyDescent="0.15">
      <c r="A194" s="101" t="s">
        <v>152</v>
      </c>
    </row>
    <row r="195" spans="1:1" x14ac:dyDescent="0.15">
      <c r="A195" s="101" t="s">
        <v>153</v>
      </c>
    </row>
    <row r="196" spans="1:1" x14ac:dyDescent="0.15">
      <c r="A196" s="101" t="s">
        <v>154</v>
      </c>
    </row>
    <row r="197" spans="1:1" x14ac:dyDescent="0.15">
      <c r="A197" s="101" t="s">
        <v>155</v>
      </c>
    </row>
    <row r="198" spans="1:1" x14ac:dyDescent="0.15">
      <c r="A198" s="101" t="s">
        <v>156</v>
      </c>
    </row>
    <row r="199" spans="1:1" x14ac:dyDescent="0.15">
      <c r="A199" s="101" t="s">
        <v>157</v>
      </c>
    </row>
    <row r="200" spans="1:1" x14ac:dyDescent="0.15">
      <c r="A200" s="101" t="s">
        <v>158</v>
      </c>
    </row>
    <row r="201" spans="1:1" x14ac:dyDescent="0.15">
      <c r="A201" s="101" t="s">
        <v>159</v>
      </c>
    </row>
    <row r="202" spans="1:1" x14ac:dyDescent="0.15">
      <c r="A202" s="101" t="s">
        <v>160</v>
      </c>
    </row>
    <row r="203" spans="1:1" x14ac:dyDescent="0.15">
      <c r="A203" s="101" t="s">
        <v>161</v>
      </c>
    </row>
    <row r="204" spans="1:1" x14ac:dyDescent="0.15">
      <c r="A204" s="101" t="s">
        <v>162</v>
      </c>
    </row>
    <row r="205" spans="1:1" x14ac:dyDescent="0.15">
      <c r="A205" s="101" t="s">
        <v>163</v>
      </c>
    </row>
    <row r="206" spans="1:1" x14ac:dyDescent="0.15">
      <c r="A206" s="100" t="s">
        <v>164</v>
      </c>
    </row>
    <row r="207" spans="1:1" x14ac:dyDescent="0.15">
      <c r="A207" s="100" t="s">
        <v>165</v>
      </c>
    </row>
    <row r="208" spans="1:1" x14ac:dyDescent="0.15">
      <c r="A208" s="100" t="s">
        <v>166</v>
      </c>
    </row>
    <row r="209" spans="1:1" x14ac:dyDescent="0.15">
      <c r="A209" s="100" t="s">
        <v>167</v>
      </c>
    </row>
    <row r="210" spans="1:1" x14ac:dyDescent="0.15">
      <c r="A210" s="100" t="s">
        <v>168</v>
      </c>
    </row>
    <row r="211" spans="1:1" x14ac:dyDescent="0.15">
      <c r="A211" s="100" t="s">
        <v>169</v>
      </c>
    </row>
    <row r="212" spans="1:1" x14ac:dyDescent="0.15">
      <c r="A212" s="100" t="s">
        <v>170</v>
      </c>
    </row>
    <row r="213" spans="1:1" x14ac:dyDescent="0.15">
      <c r="A213" s="100" t="s">
        <v>171</v>
      </c>
    </row>
    <row r="214" spans="1:1" x14ac:dyDescent="0.15">
      <c r="A214" s="100" t="s">
        <v>172</v>
      </c>
    </row>
    <row r="215" spans="1:1" x14ac:dyDescent="0.15">
      <c r="A215" s="100" t="s">
        <v>173</v>
      </c>
    </row>
    <row r="216" spans="1:1" x14ac:dyDescent="0.15">
      <c r="A216" s="100" t="s">
        <v>174</v>
      </c>
    </row>
    <row r="217" spans="1:1" x14ac:dyDescent="0.15">
      <c r="A217" s="100" t="s">
        <v>175</v>
      </c>
    </row>
    <row r="218" spans="1:1" x14ac:dyDescent="0.15">
      <c r="A218" s="100" t="s">
        <v>176</v>
      </c>
    </row>
    <row r="219" spans="1:1" x14ac:dyDescent="0.15">
      <c r="A219" s="100" t="s">
        <v>177</v>
      </c>
    </row>
    <row r="220" spans="1:1" x14ac:dyDescent="0.15">
      <c r="A220" s="100" t="s">
        <v>178</v>
      </c>
    </row>
    <row r="221" spans="1:1" x14ac:dyDescent="0.15">
      <c r="A221" s="100" t="s">
        <v>179</v>
      </c>
    </row>
    <row r="222" spans="1:1" x14ac:dyDescent="0.15">
      <c r="A222" s="100" t="s">
        <v>180</v>
      </c>
    </row>
    <row r="223" spans="1:1" x14ac:dyDescent="0.15">
      <c r="A223" s="100" t="s">
        <v>181</v>
      </c>
    </row>
    <row r="224" spans="1:1" x14ac:dyDescent="0.15">
      <c r="A224" s="100" t="s">
        <v>182</v>
      </c>
    </row>
    <row r="225" spans="1:1" x14ac:dyDescent="0.15">
      <c r="A225" s="100" t="s">
        <v>183</v>
      </c>
    </row>
    <row r="226" spans="1:1" x14ac:dyDescent="0.15">
      <c r="A226" s="100" t="s">
        <v>184</v>
      </c>
    </row>
    <row r="227" spans="1:1" x14ac:dyDescent="0.15">
      <c r="A227" s="100" t="s">
        <v>185</v>
      </c>
    </row>
    <row r="228" spans="1:1" x14ac:dyDescent="0.15">
      <c r="A228" s="100" t="s">
        <v>186</v>
      </c>
    </row>
    <row r="229" spans="1:1" x14ac:dyDescent="0.15">
      <c r="A229" s="100" t="s">
        <v>187</v>
      </c>
    </row>
    <row r="230" spans="1:1" x14ac:dyDescent="0.15">
      <c r="A230" s="100" t="s">
        <v>188</v>
      </c>
    </row>
    <row r="231" spans="1:1" x14ac:dyDescent="0.15">
      <c r="A231" s="100" t="s">
        <v>189</v>
      </c>
    </row>
    <row r="232" spans="1:1" x14ac:dyDescent="0.15">
      <c r="A232" s="100" t="s">
        <v>190</v>
      </c>
    </row>
    <row r="233" spans="1:1" x14ac:dyDescent="0.15">
      <c r="A233" s="100" t="s">
        <v>191</v>
      </c>
    </row>
    <row r="234" spans="1:1" x14ac:dyDescent="0.15">
      <c r="A234" s="100" t="s">
        <v>192</v>
      </c>
    </row>
    <row r="235" spans="1:1" x14ac:dyDescent="0.15">
      <c r="A235" s="100" t="s">
        <v>193</v>
      </c>
    </row>
    <row r="236" spans="1:1" x14ac:dyDescent="0.15">
      <c r="A236" s="100" t="s">
        <v>194</v>
      </c>
    </row>
    <row r="237" spans="1:1" x14ac:dyDescent="0.15">
      <c r="A237" s="100" t="s">
        <v>195</v>
      </c>
    </row>
    <row r="238" spans="1:1" x14ac:dyDescent="0.15">
      <c r="A238" s="100" t="s">
        <v>196</v>
      </c>
    </row>
    <row r="239" spans="1:1" x14ac:dyDescent="0.15">
      <c r="A239" s="100" t="s">
        <v>197</v>
      </c>
    </row>
    <row r="240" spans="1:1" x14ac:dyDescent="0.15">
      <c r="A240" s="100" t="s">
        <v>198</v>
      </c>
    </row>
    <row r="241" spans="1:1" x14ac:dyDescent="0.15">
      <c r="A241" s="100" t="s">
        <v>199</v>
      </c>
    </row>
    <row r="242" spans="1:1" x14ac:dyDescent="0.15">
      <c r="A242" s="100" t="s">
        <v>200</v>
      </c>
    </row>
    <row r="243" spans="1:1" x14ac:dyDescent="0.15">
      <c r="A243" s="100" t="s">
        <v>201</v>
      </c>
    </row>
    <row r="244" spans="1:1" x14ac:dyDescent="0.15">
      <c r="A244" s="100" t="s">
        <v>202</v>
      </c>
    </row>
    <row r="245" spans="1:1" x14ac:dyDescent="0.15">
      <c r="A245" s="100" t="s">
        <v>203</v>
      </c>
    </row>
    <row r="246" spans="1:1" x14ac:dyDescent="0.15">
      <c r="A246" s="100" t="s">
        <v>204</v>
      </c>
    </row>
    <row r="247" spans="1:1" x14ac:dyDescent="0.15">
      <c r="A247" s="100" t="s">
        <v>205</v>
      </c>
    </row>
    <row r="248" spans="1:1" x14ac:dyDescent="0.15">
      <c r="A248" s="100" t="s">
        <v>206</v>
      </c>
    </row>
    <row r="249" spans="1:1" x14ac:dyDescent="0.15">
      <c r="A249" s="100" t="s">
        <v>207</v>
      </c>
    </row>
    <row r="250" spans="1:1" x14ac:dyDescent="0.15">
      <c r="A250" s="100" t="s">
        <v>208</v>
      </c>
    </row>
    <row r="251" spans="1:1" x14ac:dyDescent="0.15">
      <c r="A251" s="100" t="s">
        <v>209</v>
      </c>
    </row>
    <row r="252" spans="1:1" x14ac:dyDescent="0.15">
      <c r="A252" s="100" t="s">
        <v>210</v>
      </c>
    </row>
    <row r="253" spans="1:1" x14ac:dyDescent="0.15">
      <c r="A253" s="100" t="s">
        <v>211</v>
      </c>
    </row>
    <row r="254" spans="1:1" x14ac:dyDescent="0.15">
      <c r="A254" s="100" t="s">
        <v>212</v>
      </c>
    </row>
    <row r="255" spans="1:1" x14ac:dyDescent="0.15">
      <c r="A255" s="100" t="s">
        <v>213</v>
      </c>
    </row>
    <row r="256" spans="1:1" x14ac:dyDescent="0.15">
      <c r="A256" s="100" t="s">
        <v>214</v>
      </c>
    </row>
    <row r="257" spans="1:1" x14ac:dyDescent="0.15">
      <c r="A257" s="100" t="s">
        <v>215</v>
      </c>
    </row>
    <row r="258" spans="1:1" x14ac:dyDescent="0.15">
      <c r="A258" s="100" t="s">
        <v>216</v>
      </c>
    </row>
    <row r="259" spans="1:1" x14ac:dyDescent="0.15">
      <c r="A259" s="100" t="s">
        <v>217</v>
      </c>
    </row>
    <row r="260" spans="1:1" x14ac:dyDescent="0.15">
      <c r="A260" s="100" t="s">
        <v>218</v>
      </c>
    </row>
    <row r="261" spans="1:1" x14ac:dyDescent="0.15">
      <c r="A261" s="100" t="s">
        <v>219</v>
      </c>
    </row>
    <row r="262" spans="1:1" x14ac:dyDescent="0.15">
      <c r="A262" s="100" t="s">
        <v>220</v>
      </c>
    </row>
    <row r="263" spans="1:1" x14ac:dyDescent="0.15">
      <c r="A263" s="100" t="s">
        <v>791</v>
      </c>
    </row>
    <row r="264" spans="1:1" x14ac:dyDescent="0.15">
      <c r="A264" s="100" t="s">
        <v>221</v>
      </c>
    </row>
    <row r="265" spans="1:1" x14ac:dyDescent="0.15">
      <c r="A265" s="100" t="s">
        <v>222</v>
      </c>
    </row>
    <row r="266" spans="1:1" x14ac:dyDescent="0.15">
      <c r="A266" s="100" t="s">
        <v>223</v>
      </c>
    </row>
    <row r="267" spans="1:1" x14ac:dyDescent="0.15">
      <c r="A267" s="100" t="s">
        <v>224</v>
      </c>
    </row>
    <row r="268" spans="1:1" x14ac:dyDescent="0.15">
      <c r="A268" s="100" t="s">
        <v>225</v>
      </c>
    </row>
    <row r="269" spans="1:1" x14ac:dyDescent="0.15">
      <c r="A269" s="100" t="s">
        <v>226</v>
      </c>
    </row>
    <row r="270" spans="1:1" x14ac:dyDescent="0.15">
      <c r="A270" s="100" t="s">
        <v>227</v>
      </c>
    </row>
    <row r="271" spans="1:1" x14ac:dyDescent="0.15">
      <c r="A271" s="100" t="s">
        <v>228</v>
      </c>
    </row>
    <row r="272" spans="1:1" x14ac:dyDescent="0.15">
      <c r="A272" s="100" t="s">
        <v>229</v>
      </c>
    </row>
    <row r="273" spans="1:1" x14ac:dyDescent="0.15">
      <c r="A273" s="100" t="s">
        <v>230</v>
      </c>
    </row>
    <row r="274" spans="1:1" x14ac:dyDescent="0.15">
      <c r="A274" s="100" t="s">
        <v>231</v>
      </c>
    </row>
    <row r="275" spans="1:1" x14ac:dyDescent="0.15">
      <c r="A275" s="100" t="s">
        <v>232</v>
      </c>
    </row>
    <row r="276" spans="1:1" x14ac:dyDescent="0.15">
      <c r="A276" s="100" t="s">
        <v>233</v>
      </c>
    </row>
    <row r="277" spans="1:1" x14ac:dyDescent="0.15">
      <c r="A277" s="100" t="s">
        <v>234</v>
      </c>
    </row>
    <row r="278" spans="1:1" x14ac:dyDescent="0.15">
      <c r="A278" s="100" t="s">
        <v>235</v>
      </c>
    </row>
    <row r="279" spans="1:1" x14ac:dyDescent="0.15">
      <c r="A279" s="100" t="s">
        <v>236</v>
      </c>
    </row>
    <row r="280" spans="1:1" x14ac:dyDescent="0.15">
      <c r="A280" s="100" t="s">
        <v>237</v>
      </c>
    </row>
    <row r="281" spans="1:1" x14ac:dyDescent="0.15">
      <c r="A281" s="100" t="s">
        <v>238</v>
      </c>
    </row>
    <row r="282" spans="1:1" x14ac:dyDescent="0.15">
      <c r="A282" s="100" t="s">
        <v>239</v>
      </c>
    </row>
    <row r="283" spans="1:1" x14ac:dyDescent="0.15">
      <c r="A283" s="100" t="s">
        <v>240</v>
      </c>
    </row>
    <row r="284" spans="1:1" x14ac:dyDescent="0.15">
      <c r="A284" s="100" t="s">
        <v>241</v>
      </c>
    </row>
    <row r="285" spans="1:1" x14ac:dyDescent="0.15">
      <c r="A285" s="100" t="s">
        <v>242</v>
      </c>
    </row>
    <row r="286" spans="1:1" x14ac:dyDescent="0.15">
      <c r="A286" s="100" t="s">
        <v>243</v>
      </c>
    </row>
    <row r="287" spans="1:1" x14ac:dyDescent="0.15">
      <c r="A287" s="100" t="s">
        <v>244</v>
      </c>
    </row>
    <row r="288" spans="1:1" x14ac:dyDescent="0.15">
      <c r="A288" s="100" t="s">
        <v>245</v>
      </c>
    </row>
    <row r="289" spans="1:1" x14ac:dyDescent="0.15">
      <c r="A289" s="100" t="s">
        <v>246</v>
      </c>
    </row>
    <row r="290" spans="1:1" x14ac:dyDescent="0.15">
      <c r="A290" s="100" t="s">
        <v>247</v>
      </c>
    </row>
    <row r="291" spans="1:1" x14ac:dyDescent="0.15">
      <c r="A291" s="100" t="s">
        <v>248</v>
      </c>
    </row>
    <row r="292" spans="1:1" x14ac:dyDescent="0.15">
      <c r="A292" s="100" t="s">
        <v>249</v>
      </c>
    </row>
    <row r="293" spans="1:1" x14ac:dyDescent="0.15">
      <c r="A293" s="100" t="s">
        <v>250</v>
      </c>
    </row>
    <row r="294" spans="1:1" x14ac:dyDescent="0.15">
      <c r="A294" s="100" t="s">
        <v>251</v>
      </c>
    </row>
    <row r="295" spans="1:1" x14ac:dyDescent="0.15">
      <c r="A295" s="100" t="s">
        <v>252</v>
      </c>
    </row>
    <row r="296" spans="1:1" x14ac:dyDescent="0.15">
      <c r="A296" s="100" t="s">
        <v>253</v>
      </c>
    </row>
    <row r="297" spans="1:1" x14ac:dyDescent="0.15">
      <c r="A297" s="100" t="s">
        <v>254</v>
      </c>
    </row>
    <row r="298" spans="1:1" x14ac:dyDescent="0.15">
      <c r="A298" s="100" t="s">
        <v>255</v>
      </c>
    </row>
    <row r="299" spans="1:1" x14ac:dyDescent="0.15">
      <c r="A299" s="100" t="s">
        <v>256</v>
      </c>
    </row>
    <row r="300" spans="1:1" x14ac:dyDescent="0.15">
      <c r="A300" s="100" t="s">
        <v>257</v>
      </c>
    </row>
    <row r="301" spans="1:1" x14ac:dyDescent="0.15">
      <c r="A301" s="100" t="s">
        <v>258</v>
      </c>
    </row>
    <row r="302" spans="1:1" x14ac:dyDescent="0.15">
      <c r="A302" s="100" t="s">
        <v>259</v>
      </c>
    </row>
    <row r="303" spans="1:1" x14ac:dyDescent="0.15">
      <c r="A303" s="100" t="s">
        <v>260</v>
      </c>
    </row>
    <row r="304" spans="1:1" x14ac:dyDescent="0.15">
      <c r="A304" s="100" t="s">
        <v>261</v>
      </c>
    </row>
    <row r="305" spans="1:1" x14ac:dyDescent="0.15">
      <c r="A305" s="100" t="s">
        <v>262</v>
      </c>
    </row>
    <row r="306" spans="1:1" x14ac:dyDescent="0.15">
      <c r="A306" s="100" t="s">
        <v>263</v>
      </c>
    </row>
    <row r="307" spans="1:1" x14ac:dyDescent="0.15">
      <c r="A307" s="100" t="s">
        <v>264</v>
      </c>
    </row>
    <row r="308" spans="1:1" x14ac:dyDescent="0.15">
      <c r="A308" s="100" t="s">
        <v>265</v>
      </c>
    </row>
    <row r="309" spans="1:1" x14ac:dyDescent="0.15">
      <c r="A309" s="100" t="s">
        <v>266</v>
      </c>
    </row>
    <row r="310" spans="1:1" x14ac:dyDescent="0.15">
      <c r="A310" s="100" t="s">
        <v>267</v>
      </c>
    </row>
    <row r="311" spans="1:1" x14ac:dyDescent="0.15">
      <c r="A311" s="100" t="s">
        <v>268</v>
      </c>
    </row>
    <row r="312" spans="1:1" x14ac:dyDescent="0.15">
      <c r="A312" s="100" t="s">
        <v>269</v>
      </c>
    </row>
    <row r="313" spans="1:1" x14ac:dyDescent="0.15">
      <c r="A313" s="100" t="s">
        <v>270</v>
      </c>
    </row>
    <row r="314" spans="1:1" x14ac:dyDescent="0.15">
      <c r="A314" s="100" t="s">
        <v>271</v>
      </c>
    </row>
    <row r="315" spans="1:1" x14ac:dyDescent="0.15">
      <c r="A315" s="100" t="s">
        <v>272</v>
      </c>
    </row>
    <row r="316" spans="1:1" x14ac:dyDescent="0.15">
      <c r="A316" s="100" t="s">
        <v>273</v>
      </c>
    </row>
    <row r="317" spans="1:1" x14ac:dyDescent="0.15">
      <c r="A317" s="100" t="s">
        <v>274</v>
      </c>
    </row>
    <row r="318" spans="1:1" x14ac:dyDescent="0.15">
      <c r="A318" s="100" t="s">
        <v>275</v>
      </c>
    </row>
    <row r="319" spans="1:1" x14ac:dyDescent="0.15">
      <c r="A319" s="100" t="s">
        <v>276</v>
      </c>
    </row>
    <row r="320" spans="1:1" x14ac:dyDescent="0.15">
      <c r="A320" s="100" t="s">
        <v>277</v>
      </c>
    </row>
    <row r="321" spans="1:1" x14ac:dyDescent="0.15">
      <c r="A321" s="100" t="s">
        <v>278</v>
      </c>
    </row>
    <row r="322" spans="1:1" x14ac:dyDescent="0.15">
      <c r="A322" s="100" t="s">
        <v>279</v>
      </c>
    </row>
    <row r="323" spans="1:1" x14ac:dyDescent="0.15">
      <c r="A323" s="100" t="s">
        <v>280</v>
      </c>
    </row>
    <row r="324" spans="1:1" x14ac:dyDescent="0.15">
      <c r="A324" s="100" t="s">
        <v>281</v>
      </c>
    </row>
    <row r="325" spans="1:1" x14ac:dyDescent="0.15">
      <c r="A325" s="100" t="s">
        <v>282</v>
      </c>
    </row>
    <row r="326" spans="1:1" x14ac:dyDescent="0.15">
      <c r="A326" s="100" t="s">
        <v>283</v>
      </c>
    </row>
    <row r="327" spans="1:1" x14ac:dyDescent="0.15">
      <c r="A327" s="100" t="s">
        <v>284</v>
      </c>
    </row>
    <row r="328" spans="1:1" x14ac:dyDescent="0.15">
      <c r="A328" s="100" t="s">
        <v>285</v>
      </c>
    </row>
    <row r="329" spans="1:1" x14ac:dyDescent="0.15">
      <c r="A329" s="100" t="s">
        <v>286</v>
      </c>
    </row>
    <row r="330" spans="1:1" x14ac:dyDescent="0.15">
      <c r="A330" s="101" t="s">
        <v>287</v>
      </c>
    </row>
    <row r="331" spans="1:1" x14ac:dyDescent="0.15">
      <c r="A331" s="101" t="s">
        <v>288</v>
      </c>
    </row>
    <row r="332" spans="1:1" x14ac:dyDescent="0.15">
      <c r="A332" s="101" t="s">
        <v>289</v>
      </c>
    </row>
    <row r="333" spans="1:1" x14ac:dyDescent="0.15">
      <c r="A333" s="101" t="s">
        <v>290</v>
      </c>
    </row>
    <row r="334" spans="1:1" x14ac:dyDescent="0.15">
      <c r="A334" s="101" t="s">
        <v>291</v>
      </c>
    </row>
    <row r="335" spans="1:1" x14ac:dyDescent="0.15">
      <c r="A335" s="101" t="s">
        <v>292</v>
      </c>
    </row>
    <row r="336" spans="1:1" x14ac:dyDescent="0.15">
      <c r="A336" s="101" t="s">
        <v>293</v>
      </c>
    </row>
    <row r="337" spans="1:1" x14ac:dyDescent="0.15">
      <c r="A337" s="101" t="s">
        <v>294</v>
      </c>
    </row>
    <row r="338" spans="1:1" x14ac:dyDescent="0.15">
      <c r="A338" s="101" t="s">
        <v>295</v>
      </c>
    </row>
    <row r="339" spans="1:1" x14ac:dyDescent="0.15">
      <c r="A339" s="101" t="s">
        <v>296</v>
      </c>
    </row>
    <row r="340" spans="1:1" x14ac:dyDescent="0.15">
      <c r="A340" s="101" t="s">
        <v>297</v>
      </c>
    </row>
    <row r="341" spans="1:1" x14ac:dyDescent="0.15">
      <c r="A341" s="101" t="s">
        <v>298</v>
      </c>
    </row>
    <row r="342" spans="1:1" x14ac:dyDescent="0.15">
      <c r="A342" s="101" t="s">
        <v>299</v>
      </c>
    </row>
    <row r="343" spans="1:1" x14ac:dyDescent="0.15">
      <c r="A343" s="101" t="s">
        <v>300</v>
      </c>
    </row>
    <row r="344" spans="1:1" x14ac:dyDescent="0.15">
      <c r="A344" s="101" t="s">
        <v>301</v>
      </c>
    </row>
    <row r="345" spans="1:1" x14ac:dyDescent="0.15">
      <c r="A345" s="101" t="s">
        <v>302</v>
      </c>
    </row>
    <row r="346" spans="1:1" x14ac:dyDescent="0.15">
      <c r="A346" s="101" t="s">
        <v>303</v>
      </c>
    </row>
    <row r="347" spans="1:1" x14ac:dyDescent="0.15">
      <c r="A347" s="101" t="s">
        <v>304</v>
      </c>
    </row>
    <row r="348" spans="1:1" x14ac:dyDescent="0.15">
      <c r="A348" s="101" t="s">
        <v>305</v>
      </c>
    </row>
    <row r="349" spans="1:1" x14ac:dyDescent="0.15">
      <c r="A349" s="101" t="s">
        <v>306</v>
      </c>
    </row>
    <row r="350" spans="1:1" x14ac:dyDescent="0.15">
      <c r="A350" s="101" t="s">
        <v>307</v>
      </c>
    </row>
    <row r="351" spans="1:1" x14ac:dyDescent="0.15">
      <c r="A351" s="101" t="s">
        <v>308</v>
      </c>
    </row>
    <row r="352" spans="1:1" x14ac:dyDescent="0.15">
      <c r="A352" s="101" t="s">
        <v>309</v>
      </c>
    </row>
    <row r="353" spans="1:1" x14ac:dyDescent="0.15">
      <c r="A353" s="101" t="s">
        <v>310</v>
      </c>
    </row>
    <row r="354" spans="1:1" x14ac:dyDescent="0.15">
      <c r="A354" s="101" t="s">
        <v>311</v>
      </c>
    </row>
    <row r="355" spans="1:1" x14ac:dyDescent="0.15">
      <c r="A355" s="101" t="s">
        <v>312</v>
      </c>
    </row>
    <row r="356" spans="1:1" x14ac:dyDescent="0.15">
      <c r="A356" s="101" t="s">
        <v>313</v>
      </c>
    </row>
    <row r="357" spans="1:1" x14ac:dyDescent="0.15">
      <c r="A357" s="101" t="s">
        <v>314</v>
      </c>
    </row>
    <row r="358" spans="1:1" x14ac:dyDescent="0.15">
      <c r="A358" s="101" t="s">
        <v>315</v>
      </c>
    </row>
    <row r="359" spans="1:1" x14ac:dyDescent="0.15">
      <c r="A359" s="101" t="s">
        <v>316</v>
      </c>
    </row>
    <row r="360" spans="1:1" x14ac:dyDescent="0.15">
      <c r="A360" s="101" t="s">
        <v>317</v>
      </c>
    </row>
    <row r="361" spans="1:1" x14ac:dyDescent="0.15">
      <c r="A361" s="101" t="s">
        <v>318</v>
      </c>
    </row>
    <row r="362" spans="1:1" x14ac:dyDescent="0.15">
      <c r="A362" s="101" t="s">
        <v>319</v>
      </c>
    </row>
    <row r="363" spans="1:1" x14ac:dyDescent="0.15">
      <c r="A363" s="101" t="s">
        <v>320</v>
      </c>
    </row>
    <row r="364" spans="1:1" x14ac:dyDescent="0.15">
      <c r="A364" s="101" t="s">
        <v>321</v>
      </c>
    </row>
    <row r="365" spans="1:1" x14ac:dyDescent="0.15">
      <c r="A365" s="101" t="s">
        <v>322</v>
      </c>
    </row>
    <row r="366" spans="1:1" x14ac:dyDescent="0.15">
      <c r="A366" s="101" t="s">
        <v>323</v>
      </c>
    </row>
    <row r="367" spans="1:1" x14ac:dyDescent="0.15">
      <c r="A367" s="101" t="s">
        <v>324</v>
      </c>
    </row>
    <row r="368" spans="1:1" x14ac:dyDescent="0.15">
      <c r="A368" s="101" t="s">
        <v>325</v>
      </c>
    </row>
    <row r="369" spans="1:1" x14ac:dyDescent="0.15">
      <c r="A369" s="101" t="s">
        <v>326</v>
      </c>
    </row>
    <row r="370" spans="1:1" x14ac:dyDescent="0.15">
      <c r="A370" s="101" t="s">
        <v>327</v>
      </c>
    </row>
    <row r="371" spans="1:1" x14ac:dyDescent="0.15">
      <c r="A371" s="101" t="s">
        <v>328</v>
      </c>
    </row>
    <row r="372" spans="1:1" x14ac:dyDescent="0.15">
      <c r="A372" s="101" t="s">
        <v>329</v>
      </c>
    </row>
    <row r="373" spans="1:1" x14ac:dyDescent="0.15">
      <c r="A373" s="101" t="s">
        <v>330</v>
      </c>
    </row>
    <row r="374" spans="1:1" x14ac:dyDescent="0.15">
      <c r="A374" s="101" t="s">
        <v>331</v>
      </c>
    </row>
    <row r="375" spans="1:1" x14ac:dyDescent="0.15">
      <c r="A375" s="101" t="s">
        <v>332</v>
      </c>
    </row>
    <row r="376" spans="1:1" x14ac:dyDescent="0.15">
      <c r="A376" s="101" t="s">
        <v>333</v>
      </c>
    </row>
    <row r="377" spans="1:1" x14ac:dyDescent="0.15">
      <c r="A377" s="101" t="s">
        <v>334</v>
      </c>
    </row>
    <row r="378" spans="1:1" x14ac:dyDescent="0.15">
      <c r="A378" s="101" t="s">
        <v>335</v>
      </c>
    </row>
    <row r="379" spans="1:1" x14ac:dyDescent="0.15">
      <c r="A379" s="101" t="s">
        <v>336</v>
      </c>
    </row>
    <row r="380" spans="1:1" x14ac:dyDescent="0.15">
      <c r="A380" s="101" t="s">
        <v>337</v>
      </c>
    </row>
    <row r="381" spans="1:1" x14ac:dyDescent="0.15">
      <c r="A381" s="101" t="s">
        <v>338</v>
      </c>
    </row>
    <row r="382" spans="1:1" x14ac:dyDescent="0.15">
      <c r="A382" s="101" t="s">
        <v>339</v>
      </c>
    </row>
    <row r="383" spans="1:1" x14ac:dyDescent="0.15">
      <c r="A383" s="101" t="s">
        <v>340</v>
      </c>
    </row>
    <row r="384" spans="1:1" x14ac:dyDescent="0.15">
      <c r="A384" s="101" t="s">
        <v>341</v>
      </c>
    </row>
    <row r="385" spans="1:1" x14ac:dyDescent="0.15">
      <c r="A385" s="101" t="s">
        <v>342</v>
      </c>
    </row>
    <row r="386" spans="1:1" x14ac:dyDescent="0.15">
      <c r="A386" s="101" t="s">
        <v>343</v>
      </c>
    </row>
    <row r="387" spans="1:1" x14ac:dyDescent="0.15">
      <c r="A387" s="101" t="s">
        <v>344</v>
      </c>
    </row>
    <row r="388" spans="1:1" x14ac:dyDescent="0.15">
      <c r="A388" s="101" t="s">
        <v>345</v>
      </c>
    </row>
    <row r="389" spans="1:1" x14ac:dyDescent="0.15">
      <c r="A389" s="101" t="s">
        <v>346</v>
      </c>
    </row>
    <row r="390" spans="1:1" x14ac:dyDescent="0.15">
      <c r="A390" s="101" t="s">
        <v>347</v>
      </c>
    </row>
    <row r="391" spans="1:1" x14ac:dyDescent="0.15">
      <c r="A391" s="101" t="s">
        <v>348</v>
      </c>
    </row>
    <row r="392" spans="1:1" x14ac:dyDescent="0.15">
      <c r="A392" s="101" t="s">
        <v>349</v>
      </c>
    </row>
    <row r="393" spans="1:1" x14ac:dyDescent="0.15">
      <c r="A393" s="101" t="s">
        <v>350</v>
      </c>
    </row>
    <row r="394" spans="1:1" x14ac:dyDescent="0.15">
      <c r="A394" s="101" t="s">
        <v>351</v>
      </c>
    </row>
    <row r="395" spans="1:1" x14ac:dyDescent="0.15">
      <c r="A395" s="101" t="s">
        <v>352</v>
      </c>
    </row>
    <row r="396" spans="1:1" x14ac:dyDescent="0.15">
      <c r="A396" s="101" t="s">
        <v>353</v>
      </c>
    </row>
    <row r="397" spans="1:1" x14ac:dyDescent="0.15">
      <c r="A397" s="101" t="s">
        <v>354</v>
      </c>
    </row>
    <row r="398" spans="1:1" x14ac:dyDescent="0.15">
      <c r="A398" s="101" t="s">
        <v>355</v>
      </c>
    </row>
    <row r="399" spans="1:1" x14ac:dyDescent="0.15">
      <c r="A399" s="101" t="s">
        <v>356</v>
      </c>
    </row>
    <row r="400" spans="1:1" x14ac:dyDescent="0.15">
      <c r="A400" s="101" t="s">
        <v>357</v>
      </c>
    </row>
    <row r="401" spans="1:1" x14ac:dyDescent="0.15">
      <c r="A401" s="101" t="s">
        <v>358</v>
      </c>
    </row>
    <row r="402" spans="1:1" x14ac:dyDescent="0.15">
      <c r="A402" s="101" t="s">
        <v>359</v>
      </c>
    </row>
    <row r="403" spans="1:1" x14ac:dyDescent="0.15">
      <c r="A403" s="101" t="s">
        <v>360</v>
      </c>
    </row>
    <row r="404" spans="1:1" x14ac:dyDescent="0.15">
      <c r="A404" s="101" t="s">
        <v>361</v>
      </c>
    </row>
    <row r="405" spans="1:1" x14ac:dyDescent="0.15">
      <c r="A405" s="101" t="s">
        <v>362</v>
      </c>
    </row>
    <row r="406" spans="1:1" x14ac:dyDescent="0.15">
      <c r="A406" s="101" t="s">
        <v>363</v>
      </c>
    </row>
    <row r="407" spans="1:1" x14ac:dyDescent="0.15">
      <c r="A407" s="101" t="s">
        <v>364</v>
      </c>
    </row>
    <row r="408" spans="1:1" x14ac:dyDescent="0.15">
      <c r="A408" s="101" t="s">
        <v>365</v>
      </c>
    </row>
    <row r="409" spans="1:1" x14ac:dyDescent="0.15">
      <c r="A409" s="101" t="s">
        <v>366</v>
      </c>
    </row>
    <row r="410" spans="1:1" x14ac:dyDescent="0.15">
      <c r="A410" s="101" t="s">
        <v>367</v>
      </c>
    </row>
    <row r="411" spans="1:1" x14ac:dyDescent="0.15">
      <c r="A411" s="101" t="s">
        <v>368</v>
      </c>
    </row>
    <row r="412" spans="1:1" x14ac:dyDescent="0.15">
      <c r="A412" s="101" t="s">
        <v>369</v>
      </c>
    </row>
    <row r="413" spans="1:1" x14ac:dyDescent="0.15">
      <c r="A413" s="101" t="s">
        <v>370</v>
      </c>
    </row>
    <row r="414" spans="1:1" x14ac:dyDescent="0.15">
      <c r="A414" s="101" t="s">
        <v>371</v>
      </c>
    </row>
    <row r="415" spans="1:1" x14ac:dyDescent="0.15">
      <c r="A415" s="101" t="s">
        <v>372</v>
      </c>
    </row>
    <row r="416" spans="1:1" x14ac:dyDescent="0.15">
      <c r="A416" s="101" t="s">
        <v>373</v>
      </c>
    </row>
    <row r="417" spans="1:1" x14ac:dyDescent="0.15">
      <c r="A417" s="101" t="s">
        <v>374</v>
      </c>
    </row>
    <row r="418" spans="1:1" x14ac:dyDescent="0.15">
      <c r="A418" s="101" t="s">
        <v>375</v>
      </c>
    </row>
    <row r="419" spans="1:1" x14ac:dyDescent="0.15">
      <c r="A419" s="101" t="s">
        <v>376</v>
      </c>
    </row>
    <row r="420" spans="1:1" x14ac:dyDescent="0.15">
      <c r="A420" s="101" t="s">
        <v>377</v>
      </c>
    </row>
    <row r="421" spans="1:1" x14ac:dyDescent="0.15">
      <c r="A421" s="101" t="s">
        <v>378</v>
      </c>
    </row>
    <row r="422" spans="1:1" x14ac:dyDescent="0.15">
      <c r="A422" s="101" t="s">
        <v>379</v>
      </c>
    </row>
    <row r="423" spans="1:1" x14ac:dyDescent="0.15">
      <c r="A423" s="101" t="s">
        <v>380</v>
      </c>
    </row>
    <row r="424" spans="1:1" x14ac:dyDescent="0.15">
      <c r="A424" s="101" t="s">
        <v>381</v>
      </c>
    </row>
    <row r="425" spans="1:1" x14ac:dyDescent="0.15">
      <c r="A425" s="101" t="s">
        <v>382</v>
      </c>
    </row>
    <row r="426" spans="1:1" x14ac:dyDescent="0.15">
      <c r="A426" s="101" t="s">
        <v>383</v>
      </c>
    </row>
    <row r="427" spans="1:1" x14ac:dyDescent="0.15">
      <c r="A427" s="101" t="s">
        <v>384</v>
      </c>
    </row>
    <row r="428" spans="1:1" x14ac:dyDescent="0.15">
      <c r="A428" s="101" t="s">
        <v>385</v>
      </c>
    </row>
    <row r="429" spans="1:1" x14ac:dyDescent="0.15">
      <c r="A429" s="101" t="s">
        <v>386</v>
      </c>
    </row>
    <row r="430" spans="1:1" x14ac:dyDescent="0.15">
      <c r="A430" s="101" t="s">
        <v>387</v>
      </c>
    </row>
    <row r="431" spans="1:1" x14ac:dyDescent="0.15">
      <c r="A431" s="101" t="s">
        <v>388</v>
      </c>
    </row>
    <row r="432" spans="1:1" x14ac:dyDescent="0.15">
      <c r="A432" s="101" t="s">
        <v>389</v>
      </c>
    </row>
    <row r="433" spans="1:1" x14ac:dyDescent="0.15">
      <c r="A433" s="101" t="s">
        <v>390</v>
      </c>
    </row>
    <row r="434" spans="1:1" x14ac:dyDescent="0.15">
      <c r="A434" s="101" t="s">
        <v>391</v>
      </c>
    </row>
    <row r="435" spans="1:1" x14ac:dyDescent="0.15">
      <c r="A435" s="101" t="s">
        <v>392</v>
      </c>
    </row>
    <row r="436" spans="1:1" x14ac:dyDescent="0.15">
      <c r="A436" s="101" t="s">
        <v>393</v>
      </c>
    </row>
    <row r="437" spans="1:1" x14ac:dyDescent="0.15">
      <c r="A437" s="101" t="s">
        <v>394</v>
      </c>
    </row>
    <row r="438" spans="1:1" x14ac:dyDescent="0.15">
      <c r="A438" s="101" t="s">
        <v>395</v>
      </c>
    </row>
    <row r="439" spans="1:1" x14ac:dyDescent="0.15">
      <c r="A439" s="101" t="s">
        <v>396</v>
      </c>
    </row>
    <row r="440" spans="1:1" x14ac:dyDescent="0.15">
      <c r="A440" s="101" t="s">
        <v>397</v>
      </c>
    </row>
    <row r="441" spans="1:1" x14ac:dyDescent="0.15">
      <c r="A441" s="101" t="s">
        <v>398</v>
      </c>
    </row>
    <row r="442" spans="1:1" x14ac:dyDescent="0.15">
      <c r="A442" s="101" t="s">
        <v>399</v>
      </c>
    </row>
    <row r="443" spans="1:1" x14ac:dyDescent="0.15">
      <c r="A443" s="101" t="s">
        <v>400</v>
      </c>
    </row>
    <row r="444" spans="1:1" x14ac:dyDescent="0.15">
      <c r="A444" s="101" t="s">
        <v>401</v>
      </c>
    </row>
    <row r="445" spans="1:1" x14ac:dyDescent="0.15">
      <c r="A445" s="101" t="s">
        <v>402</v>
      </c>
    </row>
    <row r="446" spans="1:1" x14ac:dyDescent="0.15">
      <c r="A446" s="101" t="s">
        <v>403</v>
      </c>
    </row>
    <row r="447" spans="1:1" x14ac:dyDescent="0.15">
      <c r="A447" s="101" t="s">
        <v>404</v>
      </c>
    </row>
    <row r="448" spans="1:1" x14ac:dyDescent="0.15">
      <c r="A448" s="101" t="s">
        <v>405</v>
      </c>
    </row>
    <row r="449" spans="1:1" x14ac:dyDescent="0.15">
      <c r="A449" s="101" t="s">
        <v>406</v>
      </c>
    </row>
    <row r="450" spans="1:1" x14ac:dyDescent="0.15">
      <c r="A450" s="101" t="s">
        <v>407</v>
      </c>
    </row>
    <row r="451" spans="1:1" x14ac:dyDescent="0.15">
      <c r="A451" s="101" t="s">
        <v>408</v>
      </c>
    </row>
    <row r="452" spans="1:1" x14ac:dyDescent="0.15">
      <c r="A452" s="101" t="s">
        <v>409</v>
      </c>
    </row>
    <row r="453" spans="1:1" x14ac:dyDescent="0.15">
      <c r="A453" s="101" t="s">
        <v>410</v>
      </c>
    </row>
    <row r="454" spans="1:1" x14ac:dyDescent="0.15">
      <c r="A454" s="101" t="s">
        <v>411</v>
      </c>
    </row>
    <row r="455" spans="1:1" x14ac:dyDescent="0.15">
      <c r="A455" s="101" t="s">
        <v>412</v>
      </c>
    </row>
    <row r="456" spans="1:1" x14ac:dyDescent="0.15">
      <c r="A456" s="101" t="s">
        <v>413</v>
      </c>
    </row>
    <row r="457" spans="1:1" x14ac:dyDescent="0.15">
      <c r="A457" s="101" t="s">
        <v>414</v>
      </c>
    </row>
    <row r="458" spans="1:1" x14ac:dyDescent="0.15">
      <c r="A458" s="101" t="s">
        <v>415</v>
      </c>
    </row>
    <row r="459" spans="1:1" x14ac:dyDescent="0.15">
      <c r="A459" s="101" t="s">
        <v>416</v>
      </c>
    </row>
    <row r="460" spans="1:1" x14ac:dyDescent="0.15">
      <c r="A460" s="101" t="s">
        <v>417</v>
      </c>
    </row>
    <row r="461" spans="1:1" x14ac:dyDescent="0.15">
      <c r="A461" s="101" t="s">
        <v>418</v>
      </c>
    </row>
    <row r="462" spans="1:1" x14ac:dyDescent="0.15">
      <c r="A462" s="101" t="s">
        <v>419</v>
      </c>
    </row>
    <row r="463" spans="1:1" x14ac:dyDescent="0.15">
      <c r="A463" s="101" t="s">
        <v>420</v>
      </c>
    </row>
    <row r="464" spans="1:1" x14ac:dyDescent="0.15">
      <c r="A464" s="101" t="s">
        <v>421</v>
      </c>
    </row>
    <row r="465" spans="1:1" x14ac:dyDescent="0.15">
      <c r="A465" s="101" t="s">
        <v>422</v>
      </c>
    </row>
    <row r="466" spans="1:1" x14ac:dyDescent="0.15">
      <c r="A466" s="101" t="s">
        <v>423</v>
      </c>
    </row>
    <row r="467" spans="1:1" x14ac:dyDescent="0.15">
      <c r="A467" s="101" t="s">
        <v>424</v>
      </c>
    </row>
    <row r="468" spans="1:1" x14ac:dyDescent="0.15">
      <c r="A468" s="101" t="s">
        <v>425</v>
      </c>
    </row>
    <row r="469" spans="1:1" x14ac:dyDescent="0.15">
      <c r="A469" s="101" t="s">
        <v>426</v>
      </c>
    </row>
    <row r="470" spans="1:1" x14ac:dyDescent="0.15">
      <c r="A470" s="101" t="s">
        <v>427</v>
      </c>
    </row>
    <row r="471" spans="1:1" x14ac:dyDescent="0.15">
      <c r="A471" s="101" t="s">
        <v>428</v>
      </c>
    </row>
    <row r="472" spans="1:1" x14ac:dyDescent="0.15">
      <c r="A472" s="101" t="s">
        <v>429</v>
      </c>
    </row>
    <row r="473" spans="1:1" x14ac:dyDescent="0.15">
      <c r="A473" s="101" t="s">
        <v>430</v>
      </c>
    </row>
    <row r="474" spans="1:1" x14ac:dyDescent="0.15">
      <c r="A474" s="101" t="s">
        <v>431</v>
      </c>
    </row>
    <row r="475" spans="1:1" x14ac:dyDescent="0.15">
      <c r="A475" s="101" t="s">
        <v>432</v>
      </c>
    </row>
    <row r="476" spans="1:1" x14ac:dyDescent="0.15">
      <c r="A476" s="101" t="s">
        <v>433</v>
      </c>
    </row>
    <row r="477" spans="1:1" x14ac:dyDescent="0.15">
      <c r="A477" s="101" t="s">
        <v>434</v>
      </c>
    </row>
    <row r="478" spans="1:1" x14ac:dyDescent="0.15">
      <c r="A478" s="101" t="s">
        <v>435</v>
      </c>
    </row>
    <row r="479" spans="1:1" x14ac:dyDescent="0.15">
      <c r="A479" s="101" t="s">
        <v>436</v>
      </c>
    </row>
    <row r="480" spans="1:1" x14ac:dyDescent="0.15">
      <c r="A480" s="101" t="s">
        <v>437</v>
      </c>
    </row>
    <row r="481" spans="1:1" x14ac:dyDescent="0.15">
      <c r="A481" s="101" t="s">
        <v>438</v>
      </c>
    </row>
    <row r="482" spans="1:1" x14ac:dyDescent="0.15">
      <c r="A482" s="101" t="s">
        <v>439</v>
      </c>
    </row>
    <row r="483" spans="1:1" x14ac:dyDescent="0.15">
      <c r="A483" s="101" t="s">
        <v>440</v>
      </c>
    </row>
    <row r="484" spans="1:1" x14ac:dyDescent="0.15">
      <c r="A484" s="101" t="s">
        <v>441</v>
      </c>
    </row>
    <row r="485" spans="1:1" x14ac:dyDescent="0.15">
      <c r="A485" s="101" t="s">
        <v>442</v>
      </c>
    </row>
    <row r="486" spans="1:1" x14ac:dyDescent="0.15">
      <c r="A486" s="101" t="s">
        <v>443</v>
      </c>
    </row>
    <row r="487" spans="1:1" x14ac:dyDescent="0.15">
      <c r="A487" s="101" t="s">
        <v>444</v>
      </c>
    </row>
    <row r="488" spans="1:1" x14ac:dyDescent="0.15">
      <c r="A488" s="101" t="s">
        <v>445</v>
      </c>
    </row>
    <row r="489" spans="1:1" x14ac:dyDescent="0.15">
      <c r="A489" s="101" t="s">
        <v>446</v>
      </c>
    </row>
    <row r="490" spans="1:1" x14ac:dyDescent="0.15">
      <c r="A490" s="101" t="s">
        <v>447</v>
      </c>
    </row>
    <row r="491" spans="1:1" x14ac:dyDescent="0.15">
      <c r="A491" s="101" t="s">
        <v>448</v>
      </c>
    </row>
    <row r="492" spans="1:1" x14ac:dyDescent="0.15">
      <c r="A492" s="101" t="s">
        <v>449</v>
      </c>
    </row>
    <row r="493" spans="1:1" x14ac:dyDescent="0.15">
      <c r="A493" s="101" t="s">
        <v>450</v>
      </c>
    </row>
    <row r="494" spans="1:1" x14ac:dyDescent="0.15">
      <c r="A494" s="101" t="s">
        <v>451</v>
      </c>
    </row>
    <row r="495" spans="1:1" x14ac:dyDescent="0.15">
      <c r="A495" s="101" t="s">
        <v>452</v>
      </c>
    </row>
    <row r="496" spans="1:1" x14ac:dyDescent="0.15">
      <c r="A496" s="101" t="s">
        <v>453</v>
      </c>
    </row>
    <row r="497" spans="1:1" x14ac:dyDescent="0.15">
      <c r="A497" s="101" t="s">
        <v>454</v>
      </c>
    </row>
    <row r="498" spans="1:1" x14ac:dyDescent="0.15">
      <c r="A498" s="101" t="s">
        <v>455</v>
      </c>
    </row>
  </sheetData>
  <sheetProtection sheet="1" objects="1" scenarios="1"/>
  <mergeCells count="3">
    <mergeCell ref="U1:W1"/>
    <mergeCell ref="A1:B1"/>
    <mergeCell ref="E1:F1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130"/>
  <sheetViews>
    <sheetView topLeftCell="A8" workbookViewId="0">
      <selection activeCell="H32" sqref="H32"/>
    </sheetView>
  </sheetViews>
  <sheetFormatPr defaultRowHeight="13.5" x14ac:dyDescent="0.15"/>
  <cols>
    <col min="1" max="1" width="3.5" bestFit="1" customWidth="1"/>
    <col min="2" max="2" width="14.625" style="1" customWidth="1"/>
    <col min="3" max="3" width="12.625" style="1" customWidth="1"/>
    <col min="4" max="4" width="13.625" style="1" customWidth="1"/>
    <col min="5" max="6" width="5.875" customWidth="1"/>
    <col min="7" max="7" width="14.625" customWidth="1"/>
    <col min="8" max="8" width="12.625" customWidth="1"/>
    <col min="9" max="9" width="13.625" customWidth="1"/>
    <col min="11" max="11" width="14.625" customWidth="1"/>
    <col min="12" max="12" width="12.625" customWidth="1"/>
    <col min="13" max="13" width="13.625" customWidth="1"/>
  </cols>
  <sheetData>
    <row r="1" spans="1:15" ht="11.25" customHeight="1" x14ac:dyDescent="0.15">
      <c r="B1" s="24" t="s">
        <v>557</v>
      </c>
      <c r="C1" s="21">
        <f>【入力ｼｰﾄ】支援課提出用!BE15</f>
        <v>0</v>
      </c>
      <c r="D1" s="22" t="s">
        <v>33</v>
      </c>
      <c r="G1" s="544">
        <f>【入力ｼｰﾄ】支援課提出用!E15</f>
        <v>0</v>
      </c>
      <c r="H1" s="545"/>
      <c r="I1" s="546"/>
    </row>
    <row r="2" spans="1:15" ht="11.25" customHeight="1" thickBot="1" x14ac:dyDescent="0.2">
      <c r="B2" s="28" t="s">
        <v>558</v>
      </c>
      <c r="C2" s="23">
        <f>【入力ｼｰﾄ】支援課提出用!BW15</f>
        <v>0</v>
      </c>
      <c r="D2" s="22" t="s">
        <v>21</v>
      </c>
      <c r="G2" s="547"/>
      <c r="H2" s="548"/>
      <c r="I2" s="549"/>
    </row>
    <row r="3" spans="1:15" ht="11.25" customHeight="1" x14ac:dyDescent="0.15">
      <c r="B3" s="28" t="s">
        <v>559</v>
      </c>
      <c r="C3" s="25">
        <f>【入力ｼｰﾄ】支援課提出用!BY15</f>
        <v>0</v>
      </c>
      <c r="D3" s="26" t="s">
        <v>21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1.25" customHeight="1" x14ac:dyDescent="0.15">
      <c r="B4" s="28" t="s">
        <v>560</v>
      </c>
      <c r="C4" s="29">
        <f>VALUE(IF(【入力ｼｰﾄ】支援課提出用!CA15="１  年賦","1",IF(【入力ｼｰﾄ】支援課提出用!CA15="２  半年賦","2","0")))</f>
        <v>0</v>
      </c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1.25" customHeight="1" x14ac:dyDescent="0.15">
      <c r="B5" s="28" t="s">
        <v>561</v>
      </c>
      <c r="C5" s="25">
        <f>(C2-C3)*C4</f>
        <v>0</v>
      </c>
      <c r="D5" s="26" t="s">
        <v>562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1.25" customHeight="1" x14ac:dyDescent="0.15">
      <c r="B6" s="28" t="s">
        <v>563</v>
      </c>
      <c r="C6" s="13" t="str">
        <f>N6</f>
        <v>0000/00/00</v>
      </c>
      <c r="D6" s="22"/>
      <c r="E6" s="44">
        <f>【入力ｼｰﾄ】支援課提出用!AQ15</f>
        <v>0</v>
      </c>
      <c r="F6" s="44">
        <f>【入力ｼｰﾄ】支援課提出用!AR15</f>
        <v>0</v>
      </c>
      <c r="G6" s="44">
        <f>【入力ｼｰﾄ】支援課提出用!AS15</f>
        <v>0</v>
      </c>
      <c r="H6" s="44">
        <f>【入力ｼｰﾄ】支援課提出用!AT15</f>
        <v>0</v>
      </c>
      <c r="I6" s="44">
        <f>【入力ｼｰﾄ】支援課提出用!AU15</f>
        <v>0</v>
      </c>
      <c r="J6" s="44">
        <f>【入力ｼｰﾄ】支援課提出用!AV15</f>
        <v>0</v>
      </c>
      <c r="K6" s="44">
        <f>【入力ｼｰﾄ】支援課提出用!AW15</f>
        <v>0</v>
      </c>
      <c r="L6" s="44">
        <f>【入力ｼｰﾄ】支援課提出用!AX15</f>
        <v>0</v>
      </c>
      <c r="M6" s="44"/>
      <c r="N6" s="45" t="str">
        <f>VALUE(E6)&amp;VALUE(F6)&amp;VALUE(G6)&amp;VALUE(H6)&amp;"/"&amp;VALUE(I6)&amp;VALUE(J6)&amp;"/"&amp;VALUE(K6)&amp;VALUE(L6)</f>
        <v>0000/00/00</v>
      </c>
      <c r="O6" s="4"/>
    </row>
    <row r="7" spans="1:15" ht="11.25" customHeight="1" x14ac:dyDescent="0.15">
      <c r="B7" s="28" t="s">
        <v>564</v>
      </c>
      <c r="C7" s="27" t="e">
        <f>C1-C8*((C2-C3)*C4-1)</f>
        <v>#DIV/0!</v>
      </c>
      <c r="D7" s="26" t="s">
        <v>33</v>
      </c>
      <c r="E7" s="44">
        <f>VALUE(E6)</f>
        <v>0</v>
      </c>
      <c r="F7" s="44">
        <f t="shared" ref="F7:L7" si="0">VALUE(F6)</f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/>
      <c r="N7" s="44"/>
      <c r="O7" s="4"/>
    </row>
    <row r="8" spans="1:15" ht="11.25" customHeight="1" x14ac:dyDescent="0.15">
      <c r="B8" s="28" t="s">
        <v>565</v>
      </c>
      <c r="C8" s="30" t="e">
        <f>ROUNDDOWN((C1/((C2-C3)*C4)),0)</f>
        <v>#DIV/0!</v>
      </c>
      <c r="D8" s="22" t="s">
        <v>33</v>
      </c>
      <c r="E8" s="44"/>
      <c r="F8" s="44"/>
      <c r="G8" s="44"/>
      <c r="H8" s="44">
        <f>VALUE(G7&amp;H7)</f>
        <v>0</v>
      </c>
      <c r="I8" s="44"/>
      <c r="J8" s="44">
        <f>VALUE(I7&amp;J7)</f>
        <v>0</v>
      </c>
      <c r="K8" s="44">
        <f>MOD(J8,2)</f>
        <v>0</v>
      </c>
      <c r="L8" s="44">
        <f>VALUE(K7&amp;L7)</f>
        <v>0</v>
      </c>
      <c r="M8" s="44"/>
      <c r="N8" s="44"/>
      <c r="O8" s="4"/>
    </row>
    <row r="9" spans="1:15" x14ac:dyDescent="0.15">
      <c r="E9" s="44"/>
      <c r="F9" s="44"/>
      <c r="G9" s="44"/>
      <c r="H9" s="44"/>
      <c r="I9" s="44"/>
      <c r="J9" s="44">
        <f>IF(AND(K8=1,L8&gt;=21,L8&lt;31),J8,IF(K8=0,J8-1,IF(AND(J8=1,L8&gt;=1,L8&lt;15),11,IF(AND(K8=1,L8&gt;=1,L8&lt;15),J8-2,""))))</f>
        <v>-1</v>
      </c>
      <c r="K9" s="44"/>
      <c r="L9" s="44"/>
      <c r="M9" s="44"/>
      <c r="N9" s="44"/>
      <c r="O9" s="4"/>
    </row>
    <row r="10" spans="1:15" x14ac:dyDescent="0.15">
      <c r="B10" s="40" t="s">
        <v>684</v>
      </c>
      <c r="C10" s="36" t="s">
        <v>686</v>
      </c>
      <c r="D10" s="37"/>
      <c r="G10" s="42" t="s">
        <v>687</v>
      </c>
      <c r="H10" s="38" t="s">
        <v>686</v>
      </c>
      <c r="I10" s="39"/>
      <c r="K10" s="42" t="s">
        <v>687</v>
      </c>
      <c r="L10" s="34" t="s">
        <v>685</v>
      </c>
      <c r="M10" s="35"/>
    </row>
    <row r="11" spans="1:15" x14ac:dyDescent="0.15">
      <c r="A11" s="550" t="s">
        <v>689</v>
      </c>
      <c r="B11" s="31" t="s">
        <v>566</v>
      </c>
      <c r="C11" s="31" t="s">
        <v>688</v>
      </c>
      <c r="D11" s="31" t="s">
        <v>567</v>
      </c>
      <c r="G11" s="31" t="s">
        <v>566</v>
      </c>
      <c r="H11" s="31" t="s">
        <v>688</v>
      </c>
      <c r="I11" s="31" t="s">
        <v>567</v>
      </c>
      <c r="K11" s="31" t="s">
        <v>566</v>
      </c>
      <c r="L11" s="31" t="s">
        <v>688</v>
      </c>
      <c r="M11" s="31" t="s">
        <v>567</v>
      </c>
    </row>
    <row r="12" spans="1:15" x14ac:dyDescent="0.15">
      <c r="A12" s="550"/>
      <c r="B12" s="8" t="str">
        <f>IF(AND(C4=1,C3=0),C6,"")</f>
        <v/>
      </c>
      <c r="C12" s="7" t="str">
        <f>IF(AND(C4=1,C3=0),"貸付実行日","")</f>
        <v/>
      </c>
      <c r="D12" s="9" t="str">
        <f>IF(AND(C4=1,C3=0),C1*1000,"")</f>
        <v/>
      </c>
      <c r="G12" s="8" t="str">
        <f>IF(AND(C4=2,C3=0),C6,"")</f>
        <v/>
      </c>
      <c r="H12" s="14" t="str">
        <f>IF(AND(C4=2,C3=0),"貸付実行日","")</f>
        <v/>
      </c>
      <c r="I12" s="15" t="str">
        <f>IF(AND(C4=2,C3=0),C1*1000,"")</f>
        <v/>
      </c>
      <c r="K12" s="19" t="str">
        <f>IF(AND(C4=2,C3&gt;0),C6,"")</f>
        <v/>
      </c>
      <c r="L12" s="14" t="str">
        <f>IF(AND(C4=2,C3&gt;0),"貸付実行日","")</f>
        <v/>
      </c>
      <c r="M12" s="15" t="str">
        <f>IF(AND(C4=2,C3&gt;0),C1*1000,"")</f>
        <v/>
      </c>
    </row>
    <row r="13" spans="1:15" x14ac:dyDescent="0.15">
      <c r="A13">
        <v>1</v>
      </c>
      <c r="B13" s="8" t="str">
        <f>IF(AND(C4=1,C3=0),(VALUE(E7&amp;F7&amp;G7&amp;H7)+1)&amp;"/"&amp;J9&amp;"/"&amp;"20","")</f>
        <v/>
      </c>
      <c r="C13" s="9" t="str">
        <f>IF(AND(C4=1,C3=0),C7*1000,"")</f>
        <v/>
      </c>
      <c r="D13" s="9" t="str">
        <f>IFERROR(D12-C13,"")</f>
        <v/>
      </c>
      <c r="G13" s="16" t="str">
        <f>IF(AND(C4=2,C3=0),IF(J9&gt;6,VALUE(E7&amp;F7&amp;H8+1&amp;"/"&amp;J9-6&amp;"/"&amp;20),VALUE(E7&amp;F7&amp;H8&amp;"/"&amp;J9+6&amp;"/"&amp;20)),"")</f>
        <v/>
      </c>
      <c r="H13" s="17" t="str">
        <f>IF(AND(C4=2,C3=0),C7*1000,"")</f>
        <v/>
      </c>
      <c r="I13" s="18" t="str">
        <f>IFERROR(I12-H13,"")</f>
        <v/>
      </c>
      <c r="K13" s="19" t="str">
        <f>IF(AND(C4=2,C3&gt;0),IF(J9&gt;6,VALUE(E7&amp;F7&amp;H8+1&amp;"/"&amp;J9-6&amp;"/"&amp;20),VALUE(E7&amp;F7&amp;H8&amp;"/"&amp;J9+6&amp;"/"&amp;20)),"")</f>
        <v/>
      </c>
      <c r="L13" s="14" t="str">
        <f>IF(AND(C4=2,C3&gt;0),"据置①","")</f>
        <v/>
      </c>
      <c r="M13" s="18" t="str">
        <f>M12</f>
        <v/>
      </c>
    </row>
    <row r="14" spans="1:15" x14ac:dyDescent="0.15">
      <c r="A14">
        <v>2</v>
      </c>
      <c r="B14" s="8" t="str">
        <f>IF(AND(C4=1,C3=0),(VALUE(E7&amp;F7&amp;G7&amp;H7)+2)&amp;"/"&amp;J9&amp;"/"&amp;"20","")</f>
        <v/>
      </c>
      <c r="C14" s="10" t="str">
        <f>IF(AND(C4=1,C3=0),C8*1000,"")</f>
        <v/>
      </c>
      <c r="D14" s="9" t="str">
        <f t="shared" ref="D14:D27" si="1">IFERROR(IF(D13&gt;0,D13-C14,""),"")</f>
        <v/>
      </c>
      <c r="F14">
        <v>1</v>
      </c>
      <c r="G14" s="14" t="str">
        <f>IF(AND(C4=2,C3=0),(VALUE(E7&amp;F7&amp;G7&amp;H7)+1)&amp;"/"&amp;J9&amp;"/"&amp;"20","")</f>
        <v/>
      </c>
      <c r="H14" s="17" t="str">
        <f>IF(AND(C4=2,C3=0),C8*1000,"")</f>
        <v/>
      </c>
      <c r="I14" s="18" t="str">
        <f t="shared" ref="I14:I42" si="2">IFERROR(IF(I13&gt;0,I13-H14,""),"")</f>
        <v/>
      </c>
      <c r="J14">
        <v>1</v>
      </c>
      <c r="K14" s="19" t="str">
        <f>IF(AND(C4=2,C3&gt;0),IF(AND(C4=2,C3&gt;0),(VALUE(E7&amp;F7&amp;G7&amp;H7)+1)&amp;"/"&amp;J9&amp;"/"&amp;"20",""),"")</f>
        <v/>
      </c>
      <c r="L14" s="14" t="str">
        <f>IF(AND(C4=2,C3&gt;0),"据置①","")</f>
        <v/>
      </c>
      <c r="M14" s="18" t="str">
        <f>M13</f>
        <v/>
      </c>
    </row>
    <row r="15" spans="1:15" x14ac:dyDescent="0.15">
      <c r="A15">
        <v>3</v>
      </c>
      <c r="B15" s="8" t="str">
        <f>IF(AND(C4=1,C3=0,C2&gt;=3),(VALUE(E7&amp;F7&amp;G7&amp;H7)+3)&amp;"/"&amp;J9&amp;"/"&amp;"20","")</f>
        <v/>
      </c>
      <c r="C15" s="10" t="str">
        <f t="shared" ref="C15:C27" si="3">IFERROR(IF(D14&gt;0,C14,""),"")</f>
        <v/>
      </c>
      <c r="D15" s="9" t="str">
        <f t="shared" si="1"/>
        <v/>
      </c>
      <c r="G15" s="19" t="str">
        <f>IF(AND(C4=2,C3=0),IF(J9&gt;6,VALUE(E7&amp;F7&amp;H8+2&amp;"/"&amp;J9-6&amp;"/"&amp;20),VALUE(E7&amp;F7&amp;H8+1&amp;"/"&amp;J9+6&amp;"/"&amp;20)),"")</f>
        <v/>
      </c>
      <c r="H15" s="17" t="str">
        <f>IF(AND(C4=2,C3=0),C8*1000,"")</f>
        <v/>
      </c>
      <c r="I15" s="18" t="str">
        <f t="shared" si="2"/>
        <v/>
      </c>
      <c r="K15" s="19" t="str">
        <f>IF(AND(C4=2,C3&gt;0),IF(J9&gt;6,VALUE(E7&amp;F7&amp;H8+2&amp;"/"&amp;J9-6&amp;"/"&amp;20),VALUE(E7&amp;F7&amp;H8+1&amp;"/"&amp;J9+6&amp;"/"&amp;20)),"")</f>
        <v/>
      </c>
      <c r="L15" s="17" t="str">
        <f>IF(AND(C4=2,C3&gt;0),IF(C3=1,C7*1000,IF(C3&gt;=2,"据置②","")),"")</f>
        <v/>
      </c>
      <c r="M15" s="15" t="str">
        <f>IFERROR(IF(L15="据置②",M14,M14-L15),"")</f>
        <v/>
      </c>
    </row>
    <row r="16" spans="1:15" x14ac:dyDescent="0.15">
      <c r="A16">
        <v>4</v>
      </c>
      <c r="B16" s="8" t="str">
        <f>IF(AND(C4=1,C3=0,C2&gt;=4),(VALUE(E7&amp;F7&amp;G7&amp;H7)+4)&amp;"/"&amp;J9&amp;"/"&amp;"20","")</f>
        <v/>
      </c>
      <c r="C16" s="10" t="str">
        <f t="shared" si="3"/>
        <v/>
      </c>
      <c r="D16" s="9" t="str">
        <f t="shared" si="1"/>
        <v/>
      </c>
      <c r="F16">
        <v>2</v>
      </c>
      <c r="G16" s="14" t="str">
        <f>IF(AND(C4=2,C3=0),(VALUE(E7&amp;F7&amp;G7&amp;H7)+2)&amp;"/"&amp;J9&amp;"/"&amp;"20","")</f>
        <v/>
      </c>
      <c r="H16" s="17" t="str">
        <f>IF(AND(C4=2,C3=0),C8*1000,"")</f>
        <v/>
      </c>
      <c r="I16" s="18" t="str">
        <f t="shared" si="2"/>
        <v/>
      </c>
      <c r="J16">
        <v>2</v>
      </c>
      <c r="K16" s="19" t="str">
        <f>IF(AND(C4=2,C3&gt;0),IF(AND(C4=2,C3&gt;0),(VALUE(E7&amp;F7&amp;G7&amp;H7)+2)&amp;"/"&amp;J9&amp;"/"&amp;"20",""),"")</f>
        <v/>
      </c>
      <c r="L16" s="17" t="str">
        <f>IF(AND(C4=2,C3&gt;0),IF(C3=1,C8*1000,IF(C3&gt;=2,"据置②","")),"")</f>
        <v/>
      </c>
      <c r="M16" s="15" t="str">
        <f>IFERROR(IF(L16="据置②",M15,M15-L16),"")</f>
        <v/>
      </c>
    </row>
    <row r="17" spans="1:13" x14ac:dyDescent="0.15">
      <c r="A17">
        <v>5</v>
      </c>
      <c r="B17" s="8" t="str">
        <f>IF(AND(C4=1,C3=0,C2&gt;=5),(VALUE(E7&amp;F7&amp;G7&amp;H7)+5)&amp;"/"&amp;J9&amp;"/"&amp;"20","")</f>
        <v/>
      </c>
      <c r="C17" s="10" t="str">
        <f t="shared" si="3"/>
        <v/>
      </c>
      <c r="D17" s="9" t="str">
        <f t="shared" si="1"/>
        <v/>
      </c>
      <c r="G17" s="19" t="str">
        <f>IF(AND(C4=2,C3=0),IF(J9&gt;6,VALUE(E7&amp;F7&amp;H8+3&amp;"/"&amp;J9-6&amp;"/"&amp;20),VALUE(E7&amp;F7&amp;H8+2&amp;"/"&amp;J9+6&amp;"/"&amp;20)),"")</f>
        <v/>
      </c>
      <c r="H17" s="17" t="str">
        <f>IF(AND(C4=2,C3=0),C8*1000,"")</f>
        <v/>
      </c>
      <c r="I17" s="18" t="str">
        <f t="shared" si="2"/>
        <v/>
      </c>
      <c r="K17" s="19" t="str">
        <f>IF(AND(C4=2,C3&gt;0),IF(J9&gt;6,VALUE(E7&amp;F7&amp;H8+3&amp;"/"&amp;J9-6&amp;"/"&amp;20),VALUE(E7&amp;F7&amp;H8+2&amp;"/"&amp;J9+6&amp;"/"&amp;20)),"")</f>
        <v/>
      </c>
      <c r="L17" s="17" t="str">
        <f>IF(AND(C4=2,C3&gt;0),IF(C3=2,C7*1000,IF(C3=1,C8*1000,IF(C3&gt;=3,"据置③",""))),"")</f>
        <v/>
      </c>
      <c r="M17" s="15" t="str">
        <f>IFERROR(IF(L17="据置③",M16,M16-L17),"")</f>
        <v/>
      </c>
    </row>
    <row r="18" spans="1:13" x14ac:dyDescent="0.15">
      <c r="A18">
        <v>6</v>
      </c>
      <c r="B18" s="8" t="str">
        <f>IF(AND(C4=1,C3=0,C2&gt;=6),(VALUE(E7&amp;F7&amp;G7&amp;H7)+6)&amp;"/"&amp;J9&amp;"/"&amp;"20","")</f>
        <v/>
      </c>
      <c r="C18" s="10" t="str">
        <f t="shared" si="3"/>
        <v/>
      </c>
      <c r="D18" s="9" t="str">
        <f t="shared" si="1"/>
        <v/>
      </c>
      <c r="F18">
        <v>3</v>
      </c>
      <c r="G18" s="19" t="str">
        <f>IF(AND(C4=2,C3=0),(VALUE(E7&amp;F7&amp;G7&amp;H7)+3)&amp;"/"&amp;J9&amp;"/"&amp;"20","")</f>
        <v/>
      </c>
      <c r="H18" s="17" t="str">
        <f>IF(AND(C4=2,C3=0,C2&gt;=3),C8*1000,"")</f>
        <v/>
      </c>
      <c r="I18" s="18" t="str">
        <f t="shared" si="2"/>
        <v/>
      </c>
      <c r="J18">
        <v>3</v>
      </c>
      <c r="K18" s="19" t="str">
        <f>IF(AND(C4=2,C3&gt;0,C2&gt;=3),IF(AND(C4=2,C3&gt;0),(VALUE(E7&amp;F7&amp;G7&amp;H7)+3)&amp;"/"&amp;J9&amp;"/"&amp;"20",""),"")</f>
        <v/>
      </c>
      <c r="L18" s="17" t="str">
        <f>IF(AND(C4=2,C3&gt;0,C2&gt;=3),IF(OR(C3=1,C3=2),C8*1000,IF(C3&gt;=3,"据置③","")),"")</f>
        <v/>
      </c>
      <c r="M18" s="15" t="str">
        <f>IFERROR(IF(L18="据置③",M17,M17-L18),"")</f>
        <v/>
      </c>
    </row>
    <row r="19" spans="1:13" x14ac:dyDescent="0.15">
      <c r="A19">
        <v>7</v>
      </c>
      <c r="B19" s="8" t="str">
        <f>IF(AND(C4=1,C3=0,C2&gt;=7),(VALUE(E7&amp;F7&amp;G7&amp;H7)+7)&amp;"/"&amp;J9&amp;"/"&amp;"20","")</f>
        <v/>
      </c>
      <c r="C19" s="10" t="str">
        <f t="shared" si="3"/>
        <v/>
      </c>
      <c r="D19" s="9" t="str">
        <f t="shared" si="1"/>
        <v/>
      </c>
      <c r="G19" s="19" t="str">
        <f>IF(AND(C4=2,C3=0,C2&gt;3),IF(J9&gt;6,VALUE(E7&amp;F7&amp;H8+4&amp;"/"&amp;J9-6&amp;"/"&amp;20),VALUE(E7&amp;F7&amp;H8+3&amp;"/"&amp;J9+6&amp;"/"&amp;20)),"")</f>
        <v/>
      </c>
      <c r="H19" s="17" t="str">
        <f>IF(AND(C4=2,C3=0,C2&gt;3),C8*1000,"")</f>
        <v/>
      </c>
      <c r="I19" s="18" t="str">
        <f t="shared" si="2"/>
        <v/>
      </c>
      <c r="K19" s="19" t="str">
        <f>IF(AND(C4=2,C3&gt;0,C2&gt;3),IF(J9&gt;6,VALUE(E7&amp;F7&amp;H8+4&amp;"/"&amp;J9-6&amp;"/"&amp;20),VALUE(E7&amp;F7&amp;H8+3&amp;"/"&amp;J9+6&amp;"/"&amp;20)),"")</f>
        <v/>
      </c>
      <c r="L19" s="17" t="str">
        <f>IF(AND(C4=2,C3&gt;0,C2&gt;3),IF(C3=3,C7*1000,IF(C3&gt;=4,"据置④",IF(OR(C3=1,C3=2),C8*1000,""))),"")</f>
        <v/>
      </c>
      <c r="M19" s="15" t="str">
        <f>IFERROR(IF(L19="据置④",M18,M18-L19),"")</f>
        <v/>
      </c>
    </row>
    <row r="20" spans="1:13" x14ac:dyDescent="0.15">
      <c r="A20">
        <v>8</v>
      </c>
      <c r="B20" s="8" t="str">
        <f>IF(AND(C4=1,C3=0,C2&gt;=8),(VALUE(E7&amp;F7&amp;G7&amp;H7)+8)&amp;"/"&amp;J9&amp;"/"&amp;"20","")</f>
        <v/>
      </c>
      <c r="C20" s="10" t="str">
        <f t="shared" si="3"/>
        <v/>
      </c>
      <c r="D20" s="9" t="str">
        <f t="shared" si="1"/>
        <v/>
      </c>
      <c r="F20">
        <v>4</v>
      </c>
      <c r="G20" s="19" t="str">
        <f>IF(AND(C4=2,C3=0,C2&gt;=4),(VALUE(E7&amp;F7&amp;G7&amp;H7)+4)&amp;"/"&amp;J9&amp;"/"&amp;"20","")</f>
        <v/>
      </c>
      <c r="H20" s="17" t="str">
        <f>IF(AND(C4=2,C3=0,C2&gt;=4),C8*1000,"")</f>
        <v/>
      </c>
      <c r="I20" s="18" t="str">
        <f t="shared" si="2"/>
        <v/>
      </c>
      <c r="J20">
        <v>4</v>
      </c>
      <c r="K20" s="19" t="str">
        <f>IF(AND(C4=2,C3&gt;0,C2&gt;=4),IF(AND(C4=2,C3&gt;0),(VALUE(E7&amp;F7&amp;G7&amp;H7)+4)&amp;"/"&amp;J9&amp;"/"&amp;"20",""),"")</f>
        <v/>
      </c>
      <c r="L20" s="17" t="str">
        <f>IF(AND(C4=2,C3&gt;0,C2&gt;=4),IF(OR(C3=1,C3=2,C3=3),C8*1000,IF(C3&gt;=4,"据置④","")),"")</f>
        <v/>
      </c>
      <c r="M20" s="15" t="str">
        <f>IFERROR(IF(L20="据置④",M19,M19-L20),"")</f>
        <v/>
      </c>
    </row>
    <row r="21" spans="1:13" x14ac:dyDescent="0.15">
      <c r="A21">
        <v>9</v>
      </c>
      <c r="B21" s="8" t="str">
        <f>IF(AND(C4=1,C3=0,C2&gt;=9),(VALUE(E7&amp;F7&amp;G7&amp;H7)+9)&amp;"/"&amp;J9&amp;"/"&amp;"20","")</f>
        <v/>
      </c>
      <c r="C21" s="10" t="str">
        <f t="shared" si="3"/>
        <v/>
      </c>
      <c r="D21" s="9" t="str">
        <f t="shared" si="1"/>
        <v/>
      </c>
      <c r="G21" s="19" t="str">
        <f>IF(AND(C4=2,C3=0,C2&gt;4),IF(J9&gt;6,VALUE(E7&amp;F7&amp;H8+5&amp;"/"&amp;J9-6&amp;"/"&amp;20),VALUE(E7&amp;F7&amp;H8+4&amp;"/"&amp;J9+6&amp;"/"&amp;20)),"")</f>
        <v/>
      </c>
      <c r="H21" s="17" t="str">
        <f>IF(AND(C4=2,C3=0,C2&gt;4),C8*1000,"")</f>
        <v/>
      </c>
      <c r="I21" s="18" t="str">
        <f t="shared" si="2"/>
        <v/>
      </c>
      <c r="K21" s="19" t="str">
        <f>IF(AND(C4=2,C3&gt;0,C2&gt;4),IF(J9&gt;6,VALUE(E7&amp;F7&amp;H8+5&amp;"/"&amp;J9-6&amp;"/"&amp;20),VALUE(E7&amp;F7&amp;H8+4&amp;"/"&amp;J9+6&amp;"/"&amp;20)),"")</f>
        <v/>
      </c>
      <c r="L21" s="17" t="str">
        <f>IF(AND(C4=2,C3&gt;0,C2&gt;4),IF(C3=4,C7*1000,IF(C3&gt;=5,"据置⑤",IF(OR(C3=1,C3=2,C3=3),C8*1000,""))),"")</f>
        <v/>
      </c>
      <c r="M21" s="15" t="str">
        <f>IFERROR(IF(L21="据置⑤",M20,M20-L21),"")</f>
        <v/>
      </c>
    </row>
    <row r="22" spans="1:13" x14ac:dyDescent="0.15">
      <c r="A22">
        <v>10</v>
      </c>
      <c r="B22" s="8" t="str">
        <f>IF(AND(C4=1,C3=0,C2&gt;=10),(VALUE(E7&amp;F7&amp;G7&amp;H7)+10)&amp;"/"&amp;J9&amp;"/"&amp;"20","")</f>
        <v/>
      </c>
      <c r="C22" s="10" t="str">
        <f t="shared" si="3"/>
        <v/>
      </c>
      <c r="D22" s="9" t="str">
        <f t="shared" si="1"/>
        <v/>
      </c>
      <c r="F22">
        <v>5</v>
      </c>
      <c r="G22" s="19" t="str">
        <f>IF(AND(C4=2,C3=0,C2&gt;=5),(VALUE(E7&amp;F7&amp;G7&amp;H7)+5)&amp;"/"&amp;J9&amp;"/"&amp;"20","")</f>
        <v/>
      </c>
      <c r="H22" s="17" t="str">
        <f>IF(AND(C4=2,C3=0,C2&gt;=5),C8*1000,"")</f>
        <v/>
      </c>
      <c r="I22" s="18" t="str">
        <f t="shared" si="2"/>
        <v/>
      </c>
      <c r="J22">
        <v>5</v>
      </c>
      <c r="K22" s="19" t="str">
        <f>IF(AND(C4=2,C3&gt;0,C2&gt;=5),IF(AND(C4=2,C3&gt;0),(VALUE(E7&amp;F7&amp;G7&amp;H7)+5)&amp;"/"&amp;J9&amp;"/"&amp;"20",""),"")</f>
        <v/>
      </c>
      <c r="L22" s="17" t="str">
        <f>IF(AND(C4=2,C3&gt;0,C2&gt;=5),IF(OR(C3=1,C3=2,C3=3,C3=4),C8*1000,IF(C3&gt;=5,"据置⑤","")),"")</f>
        <v/>
      </c>
      <c r="M22" s="15" t="str">
        <f>IFERROR(IF(L22="据置⑤",M21,M21-L22),"")</f>
        <v/>
      </c>
    </row>
    <row r="23" spans="1:13" x14ac:dyDescent="0.15">
      <c r="A23">
        <v>11</v>
      </c>
      <c r="B23" s="8" t="str">
        <f>IF(AND(C4=1,C3=0,C2&gt;=11),(VALUE(E7&amp;F7&amp;G7&amp;H7)+11)&amp;"/"&amp;J9&amp;"/"&amp;"20","")</f>
        <v/>
      </c>
      <c r="C23" s="10" t="str">
        <f t="shared" si="3"/>
        <v/>
      </c>
      <c r="D23" s="9" t="str">
        <f t="shared" si="1"/>
        <v/>
      </c>
      <c r="F23" s="3"/>
      <c r="G23" s="19" t="str">
        <f>IF(AND(C4=2,C3=0,C2&gt;5),IF(J9&gt;6,VALUE(E7&amp;F7&amp;H8+6&amp;"/"&amp;J9-6&amp;"/"&amp;20),VALUE(E7&amp;F7&amp;H8+5&amp;"/"&amp;J9+6&amp;"/"&amp;20)),"")</f>
        <v/>
      </c>
      <c r="H23" s="12" t="str">
        <f>IF(AND(C4=2,C3=0,C2&gt;5),C8*1000,"")</f>
        <v/>
      </c>
      <c r="I23" s="18" t="str">
        <f t="shared" si="2"/>
        <v/>
      </c>
      <c r="K23" s="19" t="str">
        <f>IF(AND(C4=2,C3&gt;0,C2&gt;5),IF(J9&gt;6,VALUE(E7&amp;F7&amp;H8+6&amp;"/"&amp;J9-6&amp;"/"&amp;20),VALUE(E7&amp;F7&amp;H8+5&amp;"/"&amp;J9+6&amp;"/"&amp;20)),"")</f>
        <v/>
      </c>
      <c r="L23" s="17" t="str">
        <f>IF(AND(C4=2,C3&gt;0,C2&gt;5),IF(C3=5,C7*1000,IF(C3&gt;=6,"据置⑥",IF(OR(C3=1,C3=2,C3=3,C3=4),C8*1000,""))),"")</f>
        <v/>
      </c>
      <c r="M23" s="15" t="str">
        <f>IFERROR(IF(L23="据置⑥",M22,M22-L23),"")</f>
        <v/>
      </c>
    </row>
    <row r="24" spans="1:13" x14ac:dyDescent="0.15">
      <c r="A24">
        <v>12</v>
      </c>
      <c r="B24" s="8" t="str">
        <f>IF(AND(C4=1,C3=0,C2&gt;=12),(VALUE(E7&amp;F7&amp;G7&amp;H7)+12)&amp;"/"&amp;J9&amp;"/"&amp;"20","")</f>
        <v/>
      </c>
      <c r="C24" s="10" t="str">
        <f t="shared" si="3"/>
        <v/>
      </c>
      <c r="D24" s="9" t="str">
        <f t="shared" si="1"/>
        <v/>
      </c>
      <c r="F24">
        <v>6</v>
      </c>
      <c r="G24" s="19" t="str">
        <f>IF(AND(C4=2,C3=0,C2&gt;=6),(VALUE(E7&amp;F7&amp;G7&amp;H7)+6)&amp;"/"&amp;J9&amp;"/"&amp;"20","")</f>
        <v/>
      </c>
      <c r="H24" s="17" t="str">
        <f>IF(AND(C4=2,C3=0,C2&gt;=6),C8*1000,"")</f>
        <v/>
      </c>
      <c r="I24" s="18" t="str">
        <f t="shared" si="2"/>
        <v/>
      </c>
      <c r="J24">
        <v>6</v>
      </c>
      <c r="K24" s="19" t="str">
        <f>IF(AND(C4=2,C3&gt;0,C2&gt;=6),IF(AND(C4=2,C3&gt;0),(VALUE(E7&amp;F7&amp;G7&amp;H7)+6)&amp;"/"&amp;J9&amp;"/"&amp;"20",""),"")</f>
        <v/>
      </c>
      <c r="L24" s="17" t="str">
        <f>IF(AND(C4=2,C3&gt;0,C2&gt;=6),IF(OR(C3=1,C3=2,C3=3,C3=4,C3=5),C8*1000,IF(C3&gt;=6,"据置⑥","")),"")</f>
        <v/>
      </c>
      <c r="M24" s="15" t="str">
        <f>IFERROR(IF(L24="据置⑥",M23,M23-L24),"")</f>
        <v/>
      </c>
    </row>
    <row r="25" spans="1:13" x14ac:dyDescent="0.15">
      <c r="A25">
        <v>13</v>
      </c>
      <c r="B25" s="8" t="str">
        <f>IF(AND(C4=1,C3=0,C2&gt;=13),(VALUE(E7&amp;F7&amp;G7&amp;H7)+13)&amp;"/"&amp;J9&amp;"/"&amp;"20","")</f>
        <v/>
      </c>
      <c r="C25" s="10" t="str">
        <f t="shared" si="3"/>
        <v/>
      </c>
      <c r="D25" s="9" t="str">
        <f t="shared" si="1"/>
        <v/>
      </c>
      <c r="G25" s="19" t="str">
        <f>IF(AND(C4=2,C3=0,C2&gt;6),IF(J9&gt;6,VALUE(E7&amp;F7&amp;H8+7&amp;"/"&amp;J9-6&amp;"/"&amp;20),VALUE(E7&amp;F7&amp;H8+6&amp;"/"&amp;J9+6&amp;"/"&amp;20)),"")</f>
        <v/>
      </c>
      <c r="H25" s="17" t="str">
        <f>IF(AND(C4=2,C3=0,C2&gt;6),C8*1000,"")</f>
        <v/>
      </c>
      <c r="I25" s="18" t="str">
        <f t="shared" si="2"/>
        <v/>
      </c>
      <c r="K25" s="19" t="str">
        <f>IF(AND(C4=2,C3&gt;0,C2&gt;6),IF(J9&gt;6,VALUE(E7&amp;F7&amp;H8+7&amp;"/"&amp;J9-6&amp;"/"&amp;20),VALUE(E7&amp;F7&amp;H8+6&amp;"/"&amp;J9+6&amp;"/"&amp;20)),"")</f>
        <v/>
      </c>
      <c r="L25" s="17" t="str">
        <f>IF(AND(C4=2,C3&gt;0,C2&gt;6),IF(C3=6,C7*1000,IF(C3&gt;=7,"据置⑦",IF(OR(C3=1,C3=2,C3=3,C3=4,C3=5),C8*1000,""))),"")</f>
        <v/>
      </c>
      <c r="M25" s="15" t="str">
        <f>IFERROR(IF(L25="据置⑦",M24,M24-L25),"")</f>
        <v/>
      </c>
    </row>
    <row r="26" spans="1:13" x14ac:dyDescent="0.15">
      <c r="A26">
        <v>14</v>
      </c>
      <c r="B26" s="8" t="str">
        <f>IF(AND(C4=1,C3=0,C2&gt;=14),(VALUE(E7&amp;F7&amp;G7&amp;H7)+14)&amp;"/"&amp;J9&amp;"/"&amp;"20","")</f>
        <v/>
      </c>
      <c r="C26" s="10" t="str">
        <f t="shared" si="3"/>
        <v/>
      </c>
      <c r="D26" s="9" t="str">
        <f t="shared" si="1"/>
        <v/>
      </c>
      <c r="F26">
        <v>7</v>
      </c>
      <c r="G26" s="19" t="str">
        <f>IF(AND(C4=2,C3=0,C2&gt;=7),(VALUE(E7&amp;F7&amp;G7&amp;H7)+7)&amp;"/"&amp;J9&amp;"/"&amp;"20","")</f>
        <v/>
      </c>
      <c r="H26" s="17" t="str">
        <f>IF(AND(C4=2,C3=0,C2&gt;=7),C8*1000,"")</f>
        <v/>
      </c>
      <c r="I26" s="18" t="str">
        <f t="shared" si="2"/>
        <v/>
      </c>
      <c r="J26">
        <v>7</v>
      </c>
      <c r="K26" s="20" t="str">
        <f>IF(AND(C4=2,C3&gt;0,C2&gt;=7),IF(AND(C4=2,C3&gt;0),(VALUE(E7&amp;F7&amp;G7&amp;H7)+7)&amp;"/"&amp;J9&amp;"/"&amp;"20",""),"")</f>
        <v/>
      </c>
      <c r="L26" s="43" t="str">
        <f>IF(AND(C4=2,C3&gt;0,C2&gt;=7),IF(OR(C3=1,C3=2,C3=3,C3=4,C3=5,C3=6),C8*1000,IF(C3=7,"据置⑦","")),"")</f>
        <v/>
      </c>
      <c r="M26" s="15" t="str">
        <f>IFERROR(IF(L26="据置⑦",M25,M25-L26),"")</f>
        <v/>
      </c>
    </row>
    <row r="27" spans="1:13" x14ac:dyDescent="0.15">
      <c r="A27">
        <v>15</v>
      </c>
      <c r="B27" s="11" t="str">
        <f>IF(AND(C4=1,C3=0,C2=15),(VALUE(E7&amp;F7&amp;G7&amp;H7)+15)&amp;"/"&amp;J9&amp;"/"&amp;"20","")</f>
        <v/>
      </c>
      <c r="C27" s="10" t="str">
        <f t="shared" si="3"/>
        <v/>
      </c>
      <c r="D27" s="9" t="str">
        <f t="shared" si="1"/>
        <v/>
      </c>
      <c r="G27" s="19" t="str">
        <f>IF(AND(C4=2,C3=0,C2&gt;7),IF(J9&gt;6,VALUE(E7&amp;F7&amp;H8+8&amp;"/"&amp;J9-6&amp;"/"&amp;20),VALUE(E7&amp;F7&amp;H8+7&amp;"/"&amp;J9+6&amp;"/"&amp;20)),"")</f>
        <v/>
      </c>
      <c r="H27" s="17" t="str">
        <f>IF(AND(C4=2,C3=0,C2&gt;7),C8*1000,"")</f>
        <v/>
      </c>
      <c r="I27" s="18" t="str">
        <f t="shared" si="2"/>
        <v/>
      </c>
      <c r="K27" s="19" t="str">
        <f>IF(AND(C4=2,C3&gt;0,C2&gt;7),IF(J9&gt;6,VALUE(E7&amp;F7&amp;H8+8&amp;"/"&amp;J9-6&amp;"/"&amp;20),VALUE(E7&amp;F7&amp;H8+7&amp;"/"&amp;J9+6&amp;"/"&amp;20)),"")</f>
        <v/>
      </c>
      <c r="L27" s="17" t="str">
        <f>IF(AND(C4=2,C3&gt;0,C2&gt;7),IF(C3=7,C7*1000,IF(OR(C3=1,C3=2,C3=3,C3=4,C3=5,C3=6),C8*1000,IF(C3&gt;=8,C8*1000,""))),"")</f>
        <v/>
      </c>
      <c r="M27" s="18" t="str">
        <f t="shared" ref="M27:M42" si="4">IFERROR(M26-L27,"")</f>
        <v/>
      </c>
    </row>
    <row r="28" spans="1:13" x14ac:dyDescent="0.15">
      <c r="B28" s="2"/>
      <c r="D28" s="3"/>
      <c r="F28">
        <v>8</v>
      </c>
      <c r="G28" s="19" t="str">
        <f>IF(AND(C4=2,C3=0,C2&gt;=8),(VALUE(E7&amp;F7&amp;G7&amp;H7)+8)&amp;"/"&amp;J9&amp;"/"&amp;"20","")</f>
        <v/>
      </c>
      <c r="H28" s="17" t="str">
        <f>IF(AND(C4=2,C3=0,C2&gt;=8),C8*1000,"")</f>
        <v/>
      </c>
      <c r="I28" s="18" t="str">
        <f t="shared" si="2"/>
        <v/>
      </c>
      <c r="J28">
        <v>8</v>
      </c>
      <c r="K28" s="19" t="str">
        <f>IF(AND(C4=2,C3&gt;0,C2&gt;=8),IF(AND(C4=2,C3&gt;0),(VALUE(E7&amp;F7&amp;G7&amp;H7)+8)&amp;"/"&amp;J9&amp;"/"&amp;"20",""),"")</f>
        <v/>
      </c>
      <c r="L28" s="17" t="str">
        <f>IF(AND(C4=2,C3&gt;0,C2&gt;=8),IF(C3=7,C8*1000,IF(OR(C3=1,C3=2,C3=3,C3=4,C3=5,C3=6),C8*1000,IF(C3&gt;=8,C8*1000,""))),"")</f>
        <v/>
      </c>
      <c r="M28" s="18" t="str">
        <f t="shared" si="4"/>
        <v/>
      </c>
    </row>
    <row r="29" spans="1:13" x14ac:dyDescent="0.15">
      <c r="B29" s="41" t="s">
        <v>684</v>
      </c>
      <c r="C29" s="32" t="s">
        <v>685</v>
      </c>
      <c r="D29" s="33"/>
      <c r="G29" s="19" t="str">
        <f>IF(AND(C4=2,C3=0,C2&gt;8),IF(J9&gt;6,VALUE(E7&amp;F7&amp;H8+9&amp;"/"&amp;J9-6&amp;"/"&amp;20),VALUE(E7&amp;F7&amp;H8+8&amp;"/"&amp;J9+6&amp;"/"&amp;20)),"")</f>
        <v/>
      </c>
      <c r="H29" s="17" t="str">
        <f>IF(AND(C4=2,C3=0,C2&gt;8),C8*1000,"")</f>
        <v/>
      </c>
      <c r="I29" s="18" t="str">
        <f t="shared" si="2"/>
        <v/>
      </c>
      <c r="K29" s="19" t="str">
        <f>IF(AND(C4=2,C3&gt;0,C2&gt;8),IF(J9&gt;6,VALUE(E7&amp;F7&amp;H8+9&amp;"/"&amp;J9-6&amp;"/"&amp;20),VALUE(E7&amp;F7&amp;H8+8&amp;"/"&amp;J9+6&amp;"/"&amp;20)),"")</f>
        <v/>
      </c>
      <c r="L29" s="17" t="str">
        <f>IF(AND(C4=2,C3&gt;0,C2&gt;8),C8*1000,"")</f>
        <v/>
      </c>
      <c r="M29" s="18" t="str">
        <f t="shared" si="4"/>
        <v/>
      </c>
    </row>
    <row r="30" spans="1:13" x14ac:dyDescent="0.15">
      <c r="B30" s="31" t="s">
        <v>566</v>
      </c>
      <c r="C30" s="31" t="s">
        <v>688</v>
      </c>
      <c r="D30" s="31" t="s">
        <v>567</v>
      </c>
      <c r="F30">
        <v>9</v>
      </c>
      <c r="G30" s="19" t="str">
        <f>IF(AND(C4=2,C3=0,C2&gt;=9),(VALUE(E7&amp;F7&amp;G7&amp;H7)+9)&amp;"/"&amp;J9&amp;"/"&amp;"20","")</f>
        <v/>
      </c>
      <c r="H30" s="17" t="str">
        <f>IF(AND(C4=2,C3=0,C2&gt;=9),C8*1000,"")</f>
        <v/>
      </c>
      <c r="I30" s="18" t="str">
        <f t="shared" si="2"/>
        <v/>
      </c>
      <c r="J30">
        <v>9</v>
      </c>
      <c r="K30" s="19" t="str">
        <f>IF(AND(C4=2,C3&gt;0,C2&gt;=9),IF(AND(C4=2,C3&gt;0),(VALUE(E7&amp;F7&amp;G7&amp;H7)+9)&amp;"/"&amp;J9&amp;"/"&amp;"20",""),"")</f>
        <v/>
      </c>
      <c r="L30" s="17" t="str">
        <f>IF(AND(C4=2,C3&gt;0,C2&gt;=9),C8*1000,"")</f>
        <v/>
      </c>
      <c r="M30" s="18" t="str">
        <f t="shared" si="4"/>
        <v/>
      </c>
    </row>
    <row r="31" spans="1:13" x14ac:dyDescent="0.15">
      <c r="B31" s="8" t="str">
        <f>IF(AND(C4=1,C3&gt;0),C6,"")</f>
        <v/>
      </c>
      <c r="C31" s="7" t="str">
        <f>IF(AND(C4=1,C3&gt;0),"貸付実行日","")</f>
        <v/>
      </c>
      <c r="D31" s="9" t="str">
        <f>IF(AND(C4=1,C3&gt;0),C1*1000,"")</f>
        <v/>
      </c>
      <c r="G31" s="19" t="str">
        <f>IF(AND(C4=2,C3=0,C2&gt;9),IF(J9&gt;6,VALUE(E7&amp;F7&amp;H8+10&amp;"/"&amp;J9-6&amp;"/"&amp;20),VALUE(E7&amp;F7&amp;H8+9&amp;"/"&amp;J9+6&amp;"/"&amp;20)),"")</f>
        <v/>
      </c>
      <c r="H31" s="17" t="str">
        <f>IF(AND(C4=2,C3=0,C2&gt;9),C8*1000,"")</f>
        <v/>
      </c>
      <c r="I31" s="18" t="str">
        <f t="shared" si="2"/>
        <v/>
      </c>
      <c r="K31" s="19" t="str">
        <f>IF(AND(C4=2,C3&gt;0,C2&gt;9),IF(J9&gt;6,VALUE(E7&amp;F7&amp;H8+10&amp;"/"&amp;J9-6&amp;"/"&amp;20),VALUE(E7&amp;F7&amp;H8+9&amp;"/"&amp;J9+6&amp;"/"&amp;20)),"")</f>
        <v/>
      </c>
      <c r="L31" s="17" t="str">
        <f>IF(AND(C4=2,C3&gt;0,C2&gt;9),C8*1000,"")</f>
        <v/>
      </c>
      <c r="M31" s="18" t="str">
        <f t="shared" si="4"/>
        <v/>
      </c>
    </row>
    <row r="32" spans="1:13" x14ac:dyDescent="0.15">
      <c r="A32">
        <v>1</v>
      </c>
      <c r="B32" s="8" t="str">
        <f>IF(AND(C4=1,C3&gt;0),(VALUE(E7&amp;F7&amp;G7&amp;H7)+1)&amp;"/"&amp;J9&amp;"/"&amp;"20","")</f>
        <v/>
      </c>
      <c r="C32" s="7" t="str">
        <f>IF(AND(C4=1,C3&gt;0),"据置①","")</f>
        <v/>
      </c>
      <c r="D32" s="9" t="str">
        <f>D31</f>
        <v/>
      </c>
      <c r="F32">
        <v>10</v>
      </c>
      <c r="G32" s="19" t="str">
        <f>IF(AND(C4=2,C3=0,C2&gt;=10),(VALUE(E7&amp;F7&amp;G7&amp;H7)+10)&amp;"/"&amp;J9&amp;"/"&amp;"20","")</f>
        <v/>
      </c>
      <c r="H32" s="17" t="str">
        <f>IF(AND(C4=2,C3=0,C2&gt;=10),C8*1000,"")</f>
        <v/>
      </c>
      <c r="I32" s="18" t="str">
        <f t="shared" si="2"/>
        <v/>
      </c>
      <c r="J32">
        <v>10</v>
      </c>
      <c r="K32" s="19" t="str">
        <f>IF(AND(C4=2,C3&gt;0,C2&gt;=10),IF(AND(C4=2,C3&gt;0),(VALUE(E7&amp;F7&amp;G7&amp;H7)+10)&amp;"/"&amp;J9&amp;"/"&amp;"20",""),"")</f>
        <v/>
      </c>
      <c r="L32" s="17" t="str">
        <f>IF(AND(C4=2,C3&gt;0,C2&gt;=10),C8*1000,"")</f>
        <v/>
      </c>
      <c r="M32" s="18" t="str">
        <f t="shared" si="4"/>
        <v/>
      </c>
    </row>
    <row r="33" spans="1:13" x14ac:dyDescent="0.15">
      <c r="A33">
        <v>2</v>
      </c>
      <c r="B33" s="8" t="str">
        <f>IF(AND(C4=1,C3&gt;0),(VALUE(E7&amp;F7&amp;G7&amp;H7)+2)&amp;"/"&amp;J9&amp;"/"&amp;"20","")</f>
        <v/>
      </c>
      <c r="C33" s="12" t="str">
        <f>IF(C4=1,IF(C3=1,C7*1000,IF(C3=0,"","据置②")),"")</f>
        <v/>
      </c>
      <c r="D33" s="9" t="str">
        <f>IFERROR(IF(C33="据置②",D32,D32-C33),"")</f>
        <v/>
      </c>
      <c r="G33" s="19" t="str">
        <f>IF(AND(C4=2,C3=0,C2&gt;10),IF(J9&gt;6,VALUE(E7&amp;F7&amp;H8+11&amp;"/"&amp;J9-6&amp;"/"&amp;20),VALUE(E7&amp;F7&amp;H8+10&amp;"/"&amp;J9+6&amp;"/"&amp;20)),"")</f>
        <v/>
      </c>
      <c r="H33" s="17" t="str">
        <f>IF(AND(C4=2,C3=0,C2&gt;10),C8*1000,"")</f>
        <v/>
      </c>
      <c r="I33" s="18" t="str">
        <f t="shared" si="2"/>
        <v/>
      </c>
      <c r="K33" s="19" t="str">
        <f>IF(AND(C4=2,C3&gt;0,C2&gt;10),IF(J9&gt;6,VALUE(E7&amp;F7&amp;H8+11&amp;"/"&amp;J9-6&amp;"/"&amp;20),VALUE(E7&amp;F7&amp;H8+10&amp;"/"&amp;J9+6&amp;"/"&amp;20)),"")</f>
        <v/>
      </c>
      <c r="L33" s="17" t="str">
        <f>IF(AND(C4=2,C3&gt;0,C2&gt;10),C8*1000,"")</f>
        <v/>
      </c>
      <c r="M33" s="18" t="str">
        <f t="shared" si="4"/>
        <v/>
      </c>
    </row>
    <row r="34" spans="1:13" x14ac:dyDescent="0.15">
      <c r="A34">
        <v>3</v>
      </c>
      <c r="B34" s="8" t="str">
        <f>IF(AND(C2&gt;=3,C4=1,C3&gt;0),(VALUE(E7&amp;F7&amp;G7&amp;H7)+3)&amp;"/"&amp;J9&amp;"/"&amp;"20","")</f>
        <v/>
      </c>
      <c r="C34" s="12" t="str">
        <f>IF(C4=1,IF(C3=1,C8*1000,IF(C3=2,C7*1000,IF(C3&gt;=3,"据置③",""))),"")</f>
        <v/>
      </c>
      <c r="D34" s="9" t="str">
        <f>IFERROR(IF(C34="据置③",D32,D33-C34),"")</f>
        <v/>
      </c>
      <c r="F34">
        <v>11</v>
      </c>
      <c r="G34" s="19" t="str">
        <f>IF(AND(C4=2,C3=0,C2&gt;=11),(VALUE(E7&amp;F7&amp;G7&amp;H7)+11)&amp;"/"&amp;J9&amp;"/"&amp;"20","")</f>
        <v/>
      </c>
      <c r="H34" s="17" t="str">
        <f>IF(AND(C4=2,C3=0,C2&gt;=11),C8*1000,"")</f>
        <v/>
      </c>
      <c r="I34" s="18" t="str">
        <f t="shared" si="2"/>
        <v/>
      </c>
      <c r="J34">
        <v>11</v>
      </c>
      <c r="K34" s="19" t="str">
        <f>IF(AND(C4=2,C3&gt;0,C2&gt;=11),IF(AND(C4=2,C3&gt;0),(VALUE(E7&amp;F7&amp;G7&amp;H7)+11)&amp;"/"&amp;J9&amp;"/"&amp;"20",""),"")</f>
        <v/>
      </c>
      <c r="L34" s="17" t="str">
        <f>IF(AND(C4=2,C3&gt;0,C2&gt;=11),C8*1000,"")</f>
        <v/>
      </c>
      <c r="M34" s="18" t="str">
        <f t="shared" si="4"/>
        <v/>
      </c>
    </row>
    <row r="35" spans="1:13" x14ac:dyDescent="0.15">
      <c r="A35">
        <v>4</v>
      </c>
      <c r="B35" s="8" t="str">
        <f>IF(AND(C2&gt;=4,C4=1,C3&gt;0),(VALUE(E7&amp;F7&amp;G7&amp;H7)+4)&amp;"/"&amp;J9&amp;"/"&amp;"20","")</f>
        <v/>
      </c>
      <c r="C35" s="12" t="str">
        <f>IF(C4=1,IF(C3=3,C7*1000,IF(AND(OR(C3=2,C3=1),C2&gt;=4),C8*1000,IF(C3&gt;3,"据置④",""))),"")</f>
        <v/>
      </c>
      <c r="D35" s="9" t="str">
        <f>IFERROR(IF(C35="据置④",D34,D34-C35),"")</f>
        <v/>
      </c>
      <c r="G35" s="19" t="str">
        <f>IF(AND(C4=2,C3=0,C2&gt;11),IF(J9&gt;6,VALUE(E7&amp;F7&amp;H8+12&amp;"/"&amp;J9-6&amp;"/"&amp;20),VALUE(E7&amp;F7&amp;H8+11&amp;"/"&amp;J9+6&amp;"/"&amp;20)),"")</f>
        <v/>
      </c>
      <c r="H35" s="17" t="str">
        <f>IF(AND(C4=2,C3=0,C2&gt;11),C8*1000,"")</f>
        <v/>
      </c>
      <c r="I35" s="18" t="str">
        <f t="shared" si="2"/>
        <v/>
      </c>
      <c r="K35" s="19" t="str">
        <f>IF(AND(C4=2,C3&gt;0,C2&gt;11),IF(J9&gt;6,VALUE(E7&amp;F7&amp;H8+12&amp;"/"&amp;J9-6&amp;"/"&amp;20),VALUE(E7&amp;F7&amp;H8+11&amp;"/"&amp;J9+6&amp;"/"&amp;20)),"")</f>
        <v/>
      </c>
      <c r="L35" s="17" t="str">
        <f>IF(AND(C4=2,C3&gt;0,C2&gt;11),C8*1000,"")</f>
        <v/>
      </c>
      <c r="M35" s="18" t="str">
        <f t="shared" si="4"/>
        <v/>
      </c>
    </row>
    <row r="36" spans="1:13" x14ac:dyDescent="0.15">
      <c r="A36">
        <v>5</v>
      </c>
      <c r="B36" s="8" t="str">
        <f>IF(AND(C2&gt;=5,C4=1,C3&gt;0),(VALUE(E7&amp;F7&amp;G7&amp;H7)+5)&amp;"/"&amp;J9&amp;"/"&amp;"20","")</f>
        <v/>
      </c>
      <c r="C36" s="12" t="str">
        <f>IF(C4=1,IF(C3=4,C7*1000,IF(AND(C2&gt;=5,C3&lt;=3,NOT(C3=0)),C8*1000,IF(C3&gt;4,"据置⑤",""))),"")</f>
        <v/>
      </c>
      <c r="D36" s="9" t="str">
        <f>IFERROR(IF(C36="据置⑤",D35,D35-C36),"")</f>
        <v/>
      </c>
      <c r="F36">
        <v>12</v>
      </c>
      <c r="G36" s="19" t="str">
        <f>IF(AND(C4=2,C3=0,C2&gt;=12),(VALUE(E7&amp;F7&amp;G7&amp;H7)+12)&amp;"/"&amp;J9&amp;"/"&amp;"20","")</f>
        <v/>
      </c>
      <c r="H36" s="17" t="str">
        <f>IF(AND(C4=2,C3=0,C2&gt;=12),C8*1000,"")</f>
        <v/>
      </c>
      <c r="I36" s="18" t="str">
        <f t="shared" si="2"/>
        <v/>
      </c>
      <c r="J36">
        <v>12</v>
      </c>
      <c r="K36" s="19" t="str">
        <f>IF(AND(C4=2,C3&gt;0,C2&gt;=12),IF(AND(C4=2,C3&gt;0),(VALUE(E7&amp;F7&amp;G7&amp;H7)+12)&amp;"/"&amp;J9&amp;"/"&amp;"20",""),"")</f>
        <v/>
      </c>
      <c r="L36" s="17" t="str">
        <f>IF(AND(C4=2,C3&gt;0,C2&gt;=12),C8*1000,"")</f>
        <v/>
      </c>
      <c r="M36" s="18" t="str">
        <f t="shared" si="4"/>
        <v/>
      </c>
    </row>
    <row r="37" spans="1:13" x14ac:dyDescent="0.15">
      <c r="A37">
        <v>6</v>
      </c>
      <c r="B37" s="8" t="str">
        <f>IF(AND(C2&gt;=6,C4=1,C3&gt;0),(VALUE(E7&amp;F7&amp;G7&amp;H7)+6)&amp;"/"&amp;J9&amp;"/"&amp;"20","")</f>
        <v/>
      </c>
      <c r="C37" s="12" t="str">
        <f>IF(C4=1,IF(C3=5,C7*1000,IF(AND(C2&gt;=6,C3&lt;=4,NOT(C3=0)),C8*1000,IF(C3&gt;5,"据置⑥",""))),"")</f>
        <v/>
      </c>
      <c r="D37" s="9" t="str">
        <f>IFERROR(IF(C37="据置⑥",D36,D36-C37),"")</f>
        <v/>
      </c>
      <c r="G37" s="19" t="str">
        <f>IF(AND(C4=2,C3=0,C2&gt;12),IF(J9&gt;6,VALUE(E7&amp;F7&amp;H8+13&amp;"/"&amp;J9-6&amp;"/"&amp;20),VALUE(E7&amp;F7&amp;H8+12&amp;"/"&amp;J9+6&amp;"/"&amp;20)),"")</f>
        <v/>
      </c>
      <c r="H37" s="17" t="str">
        <f>IF(AND(C4=2,C3=0,C2&gt;12),C8*1000,"")</f>
        <v/>
      </c>
      <c r="I37" s="18" t="str">
        <f t="shared" si="2"/>
        <v/>
      </c>
      <c r="K37" s="19" t="str">
        <f>IF(AND(C4=2,C3&gt;0,C2&gt;12),IF(J9&gt;6,VALUE(E7&amp;F7&amp;H8+13&amp;"/"&amp;J9-6&amp;"/"&amp;20),VALUE(E7&amp;F7&amp;H8+12&amp;"/"&amp;J9+6&amp;"/"&amp;20)),"")</f>
        <v/>
      </c>
      <c r="L37" s="17" t="str">
        <f>IF(AND(C4=2,C3&gt;0,C2&gt;12),C8*1000,"")</f>
        <v/>
      </c>
      <c r="M37" s="18" t="str">
        <f t="shared" si="4"/>
        <v/>
      </c>
    </row>
    <row r="38" spans="1:13" x14ac:dyDescent="0.15">
      <c r="A38">
        <v>7</v>
      </c>
      <c r="B38" s="8" t="str">
        <f>IF(AND(C2&gt;=7,C4=1,C3&gt;0),(VALUE(E7&amp;F7&amp;G7&amp;H7)+7)&amp;"/"&amp;J9&amp;"/"&amp;"20","")</f>
        <v/>
      </c>
      <c r="C38" s="12" t="str">
        <f>IF(C4=1,IF(C3=6,C7*1000,IF(AND(C2&gt;=7,C3&lt;=5,NOT(C3=0)),C8*1000,IF(C3&gt;6,"据置⑦",""))),"")</f>
        <v/>
      </c>
      <c r="D38" s="9" t="str">
        <f>IFERROR(IF(C38="据置⑦",D37,D37-C38),"")</f>
        <v/>
      </c>
      <c r="F38">
        <v>13</v>
      </c>
      <c r="G38" s="19" t="str">
        <f>IF(AND(C4=2,C3=0,C2&gt;=13),(VALUE(E7&amp;F7&amp;G7&amp;H7)+13)&amp;"/"&amp;J9&amp;"/"&amp;"20","")</f>
        <v/>
      </c>
      <c r="H38" s="17" t="str">
        <f>IF(AND(C4=2,C3=0,C2&gt;=13),C8*1000,"")</f>
        <v/>
      </c>
      <c r="I38" s="18" t="str">
        <f t="shared" si="2"/>
        <v/>
      </c>
      <c r="J38">
        <v>13</v>
      </c>
      <c r="K38" s="19" t="str">
        <f>IF(AND(C4=2,C3&gt;0,C2&gt;=13),IF(AND(C4=2,C3&gt;0),(VALUE(E7&amp;F7&amp;G7&amp;H7)+13)&amp;"/"&amp;J9&amp;"/"&amp;"20",""),"")</f>
        <v/>
      </c>
      <c r="L38" s="17" t="str">
        <f>IF(AND(C4=2,C3&gt;0,C2&gt;=13),C8*1000,"")</f>
        <v/>
      </c>
      <c r="M38" s="18" t="str">
        <f t="shared" si="4"/>
        <v/>
      </c>
    </row>
    <row r="39" spans="1:13" x14ac:dyDescent="0.15">
      <c r="A39">
        <v>8</v>
      </c>
      <c r="B39" s="8" t="str">
        <f>IF(AND(C2&gt;=8,C4=1,C3&gt;0),(VALUE(E7&amp;F7&amp;G7&amp;H7)+8)&amp;"/"&amp;J9&amp;"/"&amp;"20","")</f>
        <v/>
      </c>
      <c r="C39" s="12" t="str">
        <f>IF(C4=1,IF(C3=7,C7*1000,IF(AND(C2&gt;=8,C3&lt;=6,NOT(C3=0)),C8*1000,"")),"")</f>
        <v/>
      </c>
      <c r="D39" s="9" t="str">
        <f t="shared" ref="D39:D46" si="5">IFERROR(D38-C39,"")</f>
        <v/>
      </c>
      <c r="G39" s="19" t="str">
        <f>IF(AND(C4=2,C3=0,C2&gt;13),IF(J9&gt;6,VALUE(E7&amp;F7&amp;H8+14&amp;"/"&amp;J9-6&amp;"/"&amp;20),VALUE(E7&amp;F7&amp;H8+13&amp;"/"&amp;J9+6&amp;"/"&amp;20)),"")</f>
        <v/>
      </c>
      <c r="H39" s="17" t="str">
        <f>IF(AND(C4=2,C3=0,C2&gt;13),C8*1000,"")</f>
        <v/>
      </c>
      <c r="I39" s="18" t="str">
        <f t="shared" si="2"/>
        <v/>
      </c>
      <c r="K39" s="19" t="str">
        <f>IF(AND(C4=2,C3&gt;0,C2&gt;13),IF(J9&gt;6,VALUE(E7&amp;F7&amp;H8+14&amp;"/"&amp;J9-6&amp;"/"&amp;20),VALUE(E7&amp;F7&amp;H8+13&amp;"/"&amp;J9+6&amp;"/"&amp;20)),"")</f>
        <v/>
      </c>
      <c r="L39" s="17" t="str">
        <f>IF(AND(C4=2,C3&gt;0,C2&gt;13),C8*1000,"")</f>
        <v/>
      </c>
      <c r="M39" s="18" t="str">
        <f t="shared" si="4"/>
        <v/>
      </c>
    </row>
    <row r="40" spans="1:13" x14ac:dyDescent="0.15">
      <c r="A40">
        <v>9</v>
      </c>
      <c r="B40" s="8" t="str">
        <f>IF(AND(C2&gt;=9,C4=1,C3&gt;0),(VALUE(E7&amp;F7&amp;G7&amp;H7)+9)&amp;"/"&amp;J9&amp;"/"&amp;"20","")</f>
        <v/>
      </c>
      <c r="C40" s="12" t="str">
        <f>IF(C4=1,IF(AND(C2&gt;=9,NOT(C3=0)),C8*1000,""),"")</f>
        <v/>
      </c>
      <c r="D40" s="9" t="str">
        <f t="shared" si="5"/>
        <v/>
      </c>
      <c r="F40">
        <v>14</v>
      </c>
      <c r="G40" s="19" t="str">
        <f>IF(AND(C4=2,C3=0,C2&gt;=14),(VALUE(E7&amp;F7&amp;G7&amp;H7)+14)&amp;"/"&amp;J9&amp;"/"&amp;"20","")</f>
        <v/>
      </c>
      <c r="H40" s="17" t="str">
        <f>IF(AND(C4=2,C3=0,C2&gt;=14),C8*1000,"")</f>
        <v/>
      </c>
      <c r="I40" s="18" t="str">
        <f t="shared" si="2"/>
        <v/>
      </c>
      <c r="J40">
        <v>14</v>
      </c>
      <c r="K40" s="19" t="str">
        <f>IF(AND(C4=2,C3&gt;0,C2&gt;=14),IF(AND(C4=2,C3&gt;0),(VALUE(E7&amp;F7&amp;G7&amp;H7)+14)&amp;"/"&amp;J9&amp;"/"&amp;"20",""),"")</f>
        <v/>
      </c>
      <c r="L40" s="17" t="str">
        <f>IF(AND(C4=2,C3&gt;0,C2&gt;=14),C8*1000,"")</f>
        <v/>
      </c>
      <c r="M40" s="18" t="str">
        <f t="shared" si="4"/>
        <v/>
      </c>
    </row>
    <row r="41" spans="1:13" x14ac:dyDescent="0.15">
      <c r="A41">
        <v>10</v>
      </c>
      <c r="B41" s="8" t="str">
        <f>IF(AND(C2&gt;=10,C4=1,C3&gt;0),(VALUE(E7&amp;F7&amp;G7&amp;H7)+10)&amp;"/"&amp;J9&amp;"/"&amp;"20","")</f>
        <v/>
      </c>
      <c r="C41" s="12" t="str">
        <f>IF(C4=1,IF(AND(C2&gt;=10,NOT(C3=0)),C8*1000,""),"")</f>
        <v/>
      </c>
      <c r="D41" s="9" t="str">
        <f t="shared" si="5"/>
        <v/>
      </c>
      <c r="G41" s="19" t="str">
        <f>IF(AND(C4=2,C3=0,C2&gt;14),IF(J9&gt;6,VALUE(E7&amp;F7&amp;H8+15&amp;"/"&amp;J9-6&amp;"/"&amp;20),VALUE(E7&amp;F7&amp;H8+14&amp;"/"&amp;J9+6&amp;"/"&amp;20)),"")</f>
        <v/>
      </c>
      <c r="H41" s="17" t="str">
        <f>IF(AND(C4=2,C3=0,C2&gt;14),C8*1000,"")</f>
        <v/>
      </c>
      <c r="I41" s="18" t="str">
        <f t="shared" si="2"/>
        <v/>
      </c>
      <c r="K41" s="19" t="str">
        <f>IF(AND(C4=2,C3&gt;0,C2&gt;14),IF(J9&gt;6,VALUE(E7&amp;F7&amp;H8+15&amp;"/"&amp;J9-6&amp;"/"&amp;20),VALUE(E7&amp;F7&amp;H8+14&amp;"/"&amp;J9+6&amp;"/"&amp;20)),"")</f>
        <v/>
      </c>
      <c r="L41" s="17" t="str">
        <f>IF(AND(C4=2,C3&gt;0,C2&gt;14),C8*1000,"")</f>
        <v/>
      </c>
      <c r="M41" s="18" t="str">
        <f t="shared" si="4"/>
        <v/>
      </c>
    </row>
    <row r="42" spans="1:13" x14ac:dyDescent="0.15">
      <c r="A42">
        <v>11</v>
      </c>
      <c r="B42" s="8" t="str">
        <f>IF(AND(C2&gt;=11,C4=1,C3&gt;0),(VALUE(E7&amp;F7&amp;G7&amp;H7)+11)&amp;"/"&amp;J9&amp;"/"&amp;"20","")</f>
        <v/>
      </c>
      <c r="C42" s="12" t="str">
        <f>IF(C4=1,IF(AND(C2&gt;=11,NOT(C3=0)),C8*1000,""),"")</f>
        <v/>
      </c>
      <c r="D42" s="9" t="str">
        <f t="shared" si="5"/>
        <v/>
      </c>
      <c r="F42">
        <v>15</v>
      </c>
      <c r="G42" s="19" t="str">
        <f>IF(AND(C4=2,C3=0,C2=15),(VALUE(E7&amp;F7&amp;G7&amp;H7)+15)&amp;"/"&amp;J9&amp;"/"&amp;"20","")</f>
        <v/>
      </c>
      <c r="H42" s="17" t="str">
        <f>IF(AND(C4=2,C3=0,C2=15),C8*1000,"")</f>
        <v/>
      </c>
      <c r="I42" s="18" t="str">
        <f t="shared" si="2"/>
        <v/>
      </c>
      <c r="J42">
        <v>15</v>
      </c>
      <c r="K42" s="19" t="str">
        <f>IF(AND(C4=2,C3&gt;0,C2=15),IF(AND(C4=2,C3&gt;0),(VALUE(E7&amp;F7&amp;G7&amp;H7)+15)&amp;"/"&amp;J9&amp;"/"&amp;"20",""),"")</f>
        <v/>
      </c>
      <c r="L42" s="17" t="str">
        <f>IF(AND(C4=2,C3&gt;0,C2=15),C8*1000,"")</f>
        <v/>
      </c>
      <c r="M42" s="18" t="str">
        <f t="shared" si="4"/>
        <v/>
      </c>
    </row>
    <row r="43" spans="1:13" x14ac:dyDescent="0.15">
      <c r="A43">
        <v>12</v>
      </c>
      <c r="B43" s="8" t="str">
        <f>IF(AND(C2&gt;=12,C4=1,C3&gt;0),(VALUE(E7&amp;F7&amp;G7&amp;H7)+12)&amp;"/"&amp;J9&amp;"/"&amp;"20","")</f>
        <v/>
      </c>
      <c r="C43" s="12" t="str">
        <f>IF(C4=1,IF(AND(C2&gt;=12,NOT(C3=0)),C8*1000,""),"")</f>
        <v/>
      </c>
      <c r="D43" s="9" t="str">
        <f t="shared" si="5"/>
        <v/>
      </c>
      <c r="G43" s="6"/>
      <c r="L43" s="5"/>
    </row>
    <row r="44" spans="1:13" x14ac:dyDescent="0.15">
      <c r="A44">
        <v>13</v>
      </c>
      <c r="B44" s="8" t="str">
        <f>IF(AND(C2&gt;=13,C4=1,C3&gt;0),(VALUE(E7&amp;F7&amp;G7&amp;H7)+13)&amp;"/"&amp;J9&amp;"/"&amp;"20","")</f>
        <v/>
      </c>
      <c r="C44" s="12" t="str">
        <f>IF(C4=1,IF(AND(C2&gt;=13,NOT(C3=0)),C8*1000,""),"")</f>
        <v/>
      </c>
      <c r="D44" s="9" t="str">
        <f t="shared" si="5"/>
        <v/>
      </c>
      <c r="G44" s="5"/>
      <c r="L44" s="5"/>
    </row>
    <row r="45" spans="1:13" x14ac:dyDescent="0.15">
      <c r="A45">
        <v>14</v>
      </c>
      <c r="B45" s="8" t="str">
        <f>IF(AND(C2&gt;=14,C4=1,C3&gt;0),(VALUE(E7&amp;F7&amp;G7&amp;H7)+14)&amp;"/"&amp;J9&amp;"/"&amp;"20","")</f>
        <v/>
      </c>
      <c r="C45" s="12" t="str">
        <f>IF(C4=1,IF(AND(C2&gt;=14,NOT(C3=0)),C8*1000,""),"")</f>
        <v/>
      </c>
      <c r="D45" s="9" t="str">
        <f t="shared" si="5"/>
        <v/>
      </c>
      <c r="G45" s="5"/>
      <c r="L45" s="5"/>
    </row>
    <row r="46" spans="1:13" x14ac:dyDescent="0.15">
      <c r="A46">
        <v>15</v>
      </c>
      <c r="B46" s="8" t="str">
        <f>IF(AND(C2=15,C4=1,C3&gt;0),(VALUE(E7&amp;F7&amp;G7&amp;H7)+15)&amp;"/"&amp;J9&amp;"/"&amp;"20","")</f>
        <v/>
      </c>
      <c r="C46" s="12" t="str">
        <f>IF(C4=1,IF(AND(C2&gt;=15,NOT(C3=0)),C8*1000,""),"")</f>
        <v/>
      </c>
      <c r="D46" s="9" t="str">
        <f t="shared" si="5"/>
        <v/>
      </c>
      <c r="G46" s="5"/>
      <c r="L46" s="5"/>
    </row>
    <row r="47" spans="1:13" x14ac:dyDescent="0.15">
      <c r="B47" s="2"/>
      <c r="G47" s="5"/>
      <c r="L47" s="5"/>
    </row>
    <row r="48" spans="1:13" x14ac:dyDescent="0.15">
      <c r="B48" s="2"/>
      <c r="G48" s="5"/>
      <c r="L48" s="5"/>
    </row>
    <row r="49" spans="1:7" x14ac:dyDescent="0.15">
      <c r="B49" s="2"/>
      <c r="G49" s="5"/>
    </row>
    <row r="50" spans="1:7" x14ac:dyDescent="0.15">
      <c r="A50" t="s">
        <v>695</v>
      </c>
      <c r="B50" s="2"/>
      <c r="G50" s="5"/>
    </row>
    <row r="51" spans="1:7" x14ac:dyDescent="0.15">
      <c r="B51" s="2"/>
      <c r="G51" s="5"/>
    </row>
    <row r="52" spans="1:7" x14ac:dyDescent="0.15">
      <c r="B52" s="2"/>
      <c r="G52" s="5"/>
    </row>
    <row r="53" spans="1:7" x14ac:dyDescent="0.15">
      <c r="B53" s="2"/>
      <c r="G53" s="5"/>
    </row>
    <row r="54" spans="1:7" x14ac:dyDescent="0.15">
      <c r="B54" s="2"/>
      <c r="G54" s="5"/>
    </row>
    <row r="55" spans="1:7" x14ac:dyDescent="0.15">
      <c r="B55" s="2"/>
      <c r="G55" s="5"/>
    </row>
    <row r="56" spans="1:7" x14ac:dyDescent="0.15">
      <c r="B56" s="2"/>
      <c r="G56" s="5"/>
    </row>
    <row r="57" spans="1:7" x14ac:dyDescent="0.15">
      <c r="B57" s="2"/>
      <c r="G57" s="5"/>
    </row>
    <row r="58" spans="1:7" x14ac:dyDescent="0.15">
      <c r="B58" s="2"/>
      <c r="G58" s="5"/>
    </row>
    <row r="59" spans="1:7" x14ac:dyDescent="0.15">
      <c r="B59" s="2"/>
      <c r="G59" s="5"/>
    </row>
    <row r="60" spans="1:7" x14ac:dyDescent="0.15">
      <c r="B60" s="2"/>
      <c r="G60" s="5"/>
    </row>
    <row r="61" spans="1:7" x14ac:dyDescent="0.15">
      <c r="B61" s="2"/>
      <c r="G61" s="5"/>
    </row>
    <row r="62" spans="1:7" x14ac:dyDescent="0.15">
      <c r="B62" s="2"/>
      <c r="G62" s="5"/>
    </row>
    <row r="63" spans="1:7" x14ac:dyDescent="0.15">
      <c r="B63" s="2"/>
      <c r="G63" s="5"/>
    </row>
    <row r="64" spans="1:7" x14ac:dyDescent="0.15">
      <c r="B64" s="2"/>
      <c r="G64" s="5"/>
    </row>
    <row r="65" spans="2:7" x14ac:dyDescent="0.15">
      <c r="B65" s="2"/>
      <c r="G65" s="5"/>
    </row>
    <row r="66" spans="2:7" x14ac:dyDescent="0.15">
      <c r="B66" s="2"/>
      <c r="G66" s="5"/>
    </row>
    <row r="67" spans="2:7" x14ac:dyDescent="0.15">
      <c r="B67" s="2"/>
      <c r="G67" s="5"/>
    </row>
    <row r="68" spans="2:7" x14ac:dyDescent="0.15">
      <c r="B68" s="2"/>
      <c r="G68" s="5"/>
    </row>
    <row r="69" spans="2:7" x14ac:dyDescent="0.15">
      <c r="B69" s="2"/>
    </row>
    <row r="70" spans="2:7" x14ac:dyDescent="0.15">
      <c r="B70" s="2"/>
    </row>
    <row r="71" spans="2:7" x14ac:dyDescent="0.15">
      <c r="B71" s="2"/>
    </row>
    <row r="72" spans="2:7" x14ac:dyDescent="0.15">
      <c r="B72" s="2"/>
    </row>
    <row r="73" spans="2:7" x14ac:dyDescent="0.15">
      <c r="B73" s="2"/>
    </row>
    <row r="74" spans="2:7" x14ac:dyDescent="0.15">
      <c r="B74" s="2"/>
    </row>
    <row r="75" spans="2:7" x14ac:dyDescent="0.15">
      <c r="B75" s="2"/>
    </row>
    <row r="76" spans="2:7" x14ac:dyDescent="0.15">
      <c r="B76" s="2"/>
    </row>
    <row r="77" spans="2:7" x14ac:dyDescent="0.15">
      <c r="B77" s="2"/>
    </row>
    <row r="78" spans="2:7" x14ac:dyDescent="0.15">
      <c r="B78" s="2"/>
    </row>
    <row r="79" spans="2:7" x14ac:dyDescent="0.15">
      <c r="B79" s="2"/>
    </row>
    <row r="80" spans="2:7" x14ac:dyDescent="0.15">
      <c r="B80" s="2"/>
    </row>
    <row r="81" spans="2:2" x14ac:dyDescent="0.15">
      <c r="B81" s="2"/>
    </row>
    <row r="82" spans="2:2" x14ac:dyDescent="0.15">
      <c r="B82" s="2"/>
    </row>
    <row r="83" spans="2:2" x14ac:dyDescent="0.15">
      <c r="B83" s="2"/>
    </row>
    <row r="84" spans="2:2" x14ac:dyDescent="0.15">
      <c r="B84" s="2"/>
    </row>
    <row r="85" spans="2:2" x14ac:dyDescent="0.15">
      <c r="B85" s="2"/>
    </row>
    <row r="86" spans="2:2" x14ac:dyDescent="0.15">
      <c r="B86" s="2"/>
    </row>
    <row r="87" spans="2:2" x14ac:dyDescent="0.15">
      <c r="B87" s="2"/>
    </row>
    <row r="88" spans="2:2" x14ac:dyDescent="0.15">
      <c r="B88" s="2"/>
    </row>
    <row r="89" spans="2:2" x14ac:dyDescent="0.15">
      <c r="B89" s="2"/>
    </row>
    <row r="90" spans="2:2" x14ac:dyDescent="0.15">
      <c r="B90" s="2"/>
    </row>
    <row r="91" spans="2:2" x14ac:dyDescent="0.15">
      <c r="B91" s="2"/>
    </row>
    <row r="92" spans="2:2" x14ac:dyDescent="0.15">
      <c r="B92" s="2"/>
    </row>
    <row r="93" spans="2:2" x14ac:dyDescent="0.15">
      <c r="B93" s="2"/>
    </row>
    <row r="94" spans="2:2" x14ac:dyDescent="0.15">
      <c r="B94" s="2"/>
    </row>
    <row r="95" spans="2:2" x14ac:dyDescent="0.15">
      <c r="B95" s="2"/>
    </row>
    <row r="96" spans="2:2" x14ac:dyDescent="0.15">
      <c r="B96" s="2"/>
    </row>
    <row r="97" spans="2:2" x14ac:dyDescent="0.15">
      <c r="B97" s="2"/>
    </row>
    <row r="98" spans="2:2" x14ac:dyDescent="0.15">
      <c r="B98" s="2"/>
    </row>
    <row r="99" spans="2:2" x14ac:dyDescent="0.15">
      <c r="B99" s="2"/>
    </row>
    <row r="100" spans="2:2" x14ac:dyDescent="0.15">
      <c r="B100" s="2"/>
    </row>
    <row r="101" spans="2:2" x14ac:dyDescent="0.15">
      <c r="B101" s="2"/>
    </row>
    <row r="102" spans="2:2" x14ac:dyDescent="0.15">
      <c r="B102" s="2"/>
    </row>
    <row r="103" spans="2:2" x14ac:dyDescent="0.15">
      <c r="B103" s="2"/>
    </row>
    <row r="104" spans="2:2" x14ac:dyDescent="0.15">
      <c r="B104" s="2"/>
    </row>
    <row r="105" spans="2:2" x14ac:dyDescent="0.15">
      <c r="B105" s="2"/>
    </row>
    <row r="106" spans="2:2" x14ac:dyDescent="0.15">
      <c r="B106" s="2"/>
    </row>
    <row r="107" spans="2:2" x14ac:dyDescent="0.15">
      <c r="B107" s="2"/>
    </row>
    <row r="108" spans="2:2" x14ac:dyDescent="0.15">
      <c r="B108" s="2"/>
    </row>
    <row r="109" spans="2:2" x14ac:dyDescent="0.15">
      <c r="B109" s="2"/>
    </row>
    <row r="110" spans="2:2" x14ac:dyDescent="0.15">
      <c r="B110" s="2"/>
    </row>
    <row r="111" spans="2:2" x14ac:dyDescent="0.15">
      <c r="B111" s="2"/>
    </row>
    <row r="112" spans="2:2" x14ac:dyDescent="0.15">
      <c r="B112" s="2"/>
    </row>
    <row r="113" spans="2:2" x14ac:dyDescent="0.15">
      <c r="B113" s="2"/>
    </row>
    <row r="114" spans="2:2" x14ac:dyDescent="0.15">
      <c r="B114" s="2"/>
    </row>
    <row r="115" spans="2:2" x14ac:dyDescent="0.15">
      <c r="B115" s="2"/>
    </row>
    <row r="116" spans="2:2" x14ac:dyDescent="0.15">
      <c r="B116" s="2"/>
    </row>
    <row r="117" spans="2:2" x14ac:dyDescent="0.15">
      <c r="B117" s="2"/>
    </row>
    <row r="118" spans="2:2" x14ac:dyDescent="0.15">
      <c r="B118" s="2"/>
    </row>
    <row r="119" spans="2:2" x14ac:dyDescent="0.15">
      <c r="B119" s="2"/>
    </row>
    <row r="120" spans="2:2" x14ac:dyDescent="0.15">
      <c r="B120" s="2"/>
    </row>
    <row r="121" spans="2:2" x14ac:dyDescent="0.15">
      <c r="B121" s="2"/>
    </row>
    <row r="122" spans="2:2" x14ac:dyDescent="0.15">
      <c r="B122" s="2"/>
    </row>
    <row r="123" spans="2:2" x14ac:dyDescent="0.15">
      <c r="B123" s="2"/>
    </row>
    <row r="124" spans="2:2" x14ac:dyDescent="0.15">
      <c r="B124" s="2"/>
    </row>
    <row r="125" spans="2:2" x14ac:dyDescent="0.15">
      <c r="B125" s="2"/>
    </row>
    <row r="126" spans="2:2" x14ac:dyDescent="0.15">
      <c r="B126" s="2"/>
    </row>
    <row r="127" spans="2:2" x14ac:dyDescent="0.15">
      <c r="B127" s="2"/>
    </row>
    <row r="128" spans="2:2" x14ac:dyDescent="0.15">
      <c r="B128" s="2"/>
    </row>
    <row r="129" spans="2:2" x14ac:dyDescent="0.15">
      <c r="B129" s="2"/>
    </row>
    <row r="130" spans="2:2" x14ac:dyDescent="0.15">
      <c r="B130" s="2"/>
    </row>
  </sheetData>
  <sheetProtection sheet="1"/>
  <mergeCells count="2">
    <mergeCell ref="G1:I2"/>
    <mergeCell ref="A11:A12"/>
  </mergeCells>
  <phoneticPr fontId="2"/>
  <pageMargins left="0.43307086614173229" right="0.23622047244094491" top="0.55118110236220474" bottom="0.55118110236220474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N130"/>
  <sheetViews>
    <sheetView workbookViewId="0">
      <selection activeCell="E7" sqref="E7"/>
    </sheetView>
  </sheetViews>
  <sheetFormatPr defaultRowHeight="13.5" x14ac:dyDescent="0.15"/>
  <cols>
    <col min="1" max="1" width="3.5" bestFit="1" customWidth="1"/>
    <col min="2" max="2" width="14.625" style="1" customWidth="1"/>
    <col min="3" max="3" width="12.625" style="1" customWidth="1"/>
    <col min="4" max="4" width="13.625" style="1" customWidth="1"/>
    <col min="5" max="6" width="5.875" customWidth="1"/>
    <col min="7" max="7" width="14.625" customWidth="1"/>
    <col min="8" max="8" width="12.625" customWidth="1"/>
    <col min="9" max="9" width="13.625" customWidth="1"/>
    <col min="11" max="11" width="14.625" customWidth="1"/>
    <col min="12" max="12" width="12.625" customWidth="1"/>
    <col min="13" max="13" width="13.625" customWidth="1"/>
  </cols>
  <sheetData>
    <row r="1" spans="1:14" ht="11.25" customHeight="1" x14ac:dyDescent="0.15">
      <c r="B1" s="24" t="s">
        <v>557</v>
      </c>
      <c r="C1" s="21">
        <f>【入力ｼｰﾄ】支援課提出用!BE24</f>
        <v>0</v>
      </c>
      <c r="D1" s="22" t="s">
        <v>33</v>
      </c>
      <c r="G1" s="544">
        <f>【入力ｼｰﾄ】支援課提出用!E24</f>
        <v>0</v>
      </c>
      <c r="H1" s="545"/>
      <c r="I1" s="546"/>
    </row>
    <row r="2" spans="1:14" ht="11.25" customHeight="1" thickBot="1" x14ac:dyDescent="0.2">
      <c r="B2" s="28" t="s">
        <v>558</v>
      </c>
      <c r="C2" s="23">
        <f>【入力ｼｰﾄ】支援課提出用!BW24</f>
        <v>0</v>
      </c>
      <c r="D2" s="22" t="s">
        <v>21</v>
      </c>
      <c r="G2" s="547"/>
      <c r="H2" s="548"/>
      <c r="I2" s="549"/>
    </row>
    <row r="3" spans="1:14" ht="11.25" customHeight="1" x14ac:dyDescent="0.15">
      <c r="B3" s="28" t="s">
        <v>559</v>
      </c>
      <c r="C3" s="25">
        <f>【入力ｼｰﾄ】支援課提出用!BY24</f>
        <v>0</v>
      </c>
      <c r="D3" s="26" t="s">
        <v>21</v>
      </c>
    </row>
    <row r="4" spans="1:14" ht="11.25" customHeight="1" x14ac:dyDescent="0.15">
      <c r="B4" s="28" t="s">
        <v>560</v>
      </c>
      <c r="C4" s="29">
        <f>VALUE(IF(【入力ｼｰﾄ】支援課提出用!CA24="１  年賦","1",IF(【入力ｼｰﾄ】支援課提出用!CA24="２  半年賦","2","0")))</f>
        <v>0</v>
      </c>
      <c r="D4" s="22"/>
    </row>
    <row r="5" spans="1:14" ht="11.25" customHeight="1" x14ac:dyDescent="0.15">
      <c r="B5" s="28" t="s">
        <v>561</v>
      </c>
      <c r="C5" s="25">
        <f>(C2-C3)*C4</f>
        <v>0</v>
      </c>
      <c r="D5" s="26" t="s">
        <v>562</v>
      </c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1.25" customHeight="1" x14ac:dyDescent="0.15">
      <c r="B6" s="28" t="s">
        <v>563</v>
      </c>
      <c r="C6" s="13" t="str">
        <f>N6</f>
        <v>0000/00/00</v>
      </c>
      <c r="D6" s="22"/>
      <c r="E6" s="44">
        <f>【入力ｼｰﾄ】支援課提出用!AQ24</f>
        <v>0</v>
      </c>
      <c r="F6" s="44">
        <f>【入力ｼｰﾄ】支援課提出用!AR24</f>
        <v>0</v>
      </c>
      <c r="G6" s="44">
        <f>【入力ｼｰﾄ】支援課提出用!AS24</f>
        <v>0</v>
      </c>
      <c r="H6" s="44">
        <f>【入力ｼｰﾄ】支援課提出用!AT24</f>
        <v>0</v>
      </c>
      <c r="I6" s="44">
        <f>【入力ｼｰﾄ】支援課提出用!AU24</f>
        <v>0</v>
      </c>
      <c r="J6" s="44">
        <f>【入力ｼｰﾄ】支援課提出用!AV24</f>
        <v>0</v>
      </c>
      <c r="K6" s="44">
        <f>【入力ｼｰﾄ】支援課提出用!AW24</f>
        <v>0</v>
      </c>
      <c r="L6" s="44">
        <f>【入力ｼｰﾄ】支援課提出用!AX24</f>
        <v>0</v>
      </c>
      <c r="M6" s="44"/>
      <c r="N6" s="45" t="str">
        <f>VALUE(E6)&amp;VALUE(F6)&amp;VALUE(G6)&amp;VALUE(H6)&amp;"/"&amp;VALUE(I6)&amp;VALUE(J6)&amp;"/"&amp;VALUE(K6)&amp;VALUE(L6)</f>
        <v>0000/00/00</v>
      </c>
    </row>
    <row r="7" spans="1:14" ht="11.25" customHeight="1" x14ac:dyDescent="0.15">
      <c r="B7" s="28" t="s">
        <v>564</v>
      </c>
      <c r="C7" s="27" t="e">
        <f>C1-C8*((C2-C3)*C4-1)</f>
        <v>#DIV/0!</v>
      </c>
      <c r="D7" s="26" t="s">
        <v>33</v>
      </c>
      <c r="E7" s="44">
        <f>VALUE(E6)</f>
        <v>0</v>
      </c>
      <c r="F7" s="44">
        <f t="shared" ref="F7:L7" si="0">VALUE(F6)</f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/>
      <c r="N7" s="44"/>
    </row>
    <row r="8" spans="1:14" ht="11.25" customHeight="1" x14ac:dyDescent="0.15">
      <c r="B8" s="28" t="s">
        <v>565</v>
      </c>
      <c r="C8" s="30" t="e">
        <f>ROUNDDOWN((C1/((C2-C3)*C4)),0)</f>
        <v>#DIV/0!</v>
      </c>
      <c r="D8" s="22" t="s">
        <v>33</v>
      </c>
      <c r="E8" s="44"/>
      <c r="F8" s="44"/>
      <c r="G8" s="44"/>
      <c r="H8" s="44">
        <f>VALUE(G7&amp;H7)</f>
        <v>0</v>
      </c>
      <c r="I8" s="44"/>
      <c r="J8" s="44">
        <f>VALUE(I7&amp;J7)</f>
        <v>0</v>
      </c>
      <c r="K8" s="44">
        <f>MOD(J8,2)</f>
        <v>0</v>
      </c>
      <c r="L8" s="44">
        <f>VALUE(K7&amp;L7)</f>
        <v>0</v>
      </c>
      <c r="M8" s="44"/>
      <c r="N8" s="44"/>
    </row>
    <row r="9" spans="1:14" x14ac:dyDescent="0.15">
      <c r="E9" s="44"/>
      <c r="F9" s="44"/>
      <c r="G9" s="44"/>
      <c r="H9" s="44"/>
      <c r="I9" s="44"/>
      <c r="J9" s="44">
        <f>IF(AND(K8=1,L8&gt;=21,L8&lt;31),J8,IF(K8=0,J8-1,IF(AND(J8=1,L8&gt;=1,L8&lt;15),11,IF(AND(K8=1,L8&gt;=1,L8&lt;15),J8-2,""))))</f>
        <v>-1</v>
      </c>
      <c r="K9" s="44"/>
      <c r="L9" s="44"/>
      <c r="M9" s="44"/>
      <c r="N9" s="44"/>
    </row>
    <row r="10" spans="1:14" x14ac:dyDescent="0.15">
      <c r="B10" s="40" t="s">
        <v>684</v>
      </c>
      <c r="C10" s="36" t="s">
        <v>686</v>
      </c>
      <c r="D10" s="37"/>
      <c r="G10" s="42" t="s">
        <v>687</v>
      </c>
      <c r="H10" s="38" t="s">
        <v>686</v>
      </c>
      <c r="I10" s="39"/>
      <c r="K10" s="42" t="s">
        <v>687</v>
      </c>
      <c r="L10" s="34" t="s">
        <v>685</v>
      </c>
      <c r="M10" s="35"/>
    </row>
    <row r="11" spans="1:14" x14ac:dyDescent="0.15">
      <c r="A11" s="550" t="s">
        <v>689</v>
      </c>
      <c r="B11" s="31" t="s">
        <v>566</v>
      </c>
      <c r="C11" s="31" t="s">
        <v>688</v>
      </c>
      <c r="D11" s="31" t="s">
        <v>567</v>
      </c>
      <c r="G11" s="31" t="s">
        <v>566</v>
      </c>
      <c r="H11" s="31" t="s">
        <v>688</v>
      </c>
      <c r="I11" s="31" t="s">
        <v>567</v>
      </c>
      <c r="K11" s="31" t="s">
        <v>566</v>
      </c>
      <c r="L11" s="31" t="s">
        <v>688</v>
      </c>
      <c r="M11" s="31" t="s">
        <v>567</v>
      </c>
    </row>
    <row r="12" spans="1:14" x14ac:dyDescent="0.15">
      <c r="A12" s="550"/>
      <c r="B12" s="8" t="str">
        <f>IF(AND(C4=1,C3=0),C6,"")</f>
        <v/>
      </c>
      <c r="C12" s="7" t="str">
        <f>IF(AND(C4=1,C3=0),"貸付実行日","")</f>
        <v/>
      </c>
      <c r="D12" s="9" t="str">
        <f>IF(AND(C4=1,C3=0),C1*1000,"")</f>
        <v/>
      </c>
      <c r="G12" s="8" t="str">
        <f>IF(AND(C4=2,C3=0),C6,"")</f>
        <v/>
      </c>
      <c r="H12" s="14" t="str">
        <f>IF(AND(C4=2,C3=0),"貸付実行日","")</f>
        <v/>
      </c>
      <c r="I12" s="15" t="str">
        <f>IF(AND(C4=2,C3=0),C1*1000,"")</f>
        <v/>
      </c>
      <c r="K12" s="19" t="str">
        <f>IF(AND(C4=2,C3&gt;0),C6,"")</f>
        <v/>
      </c>
      <c r="L12" s="14" t="str">
        <f>IF(AND(C4=2,C3&gt;0),"貸付実行日","")</f>
        <v/>
      </c>
      <c r="M12" s="15" t="str">
        <f>IF(AND(C4=2,C3&gt;0),C1*1000,"")</f>
        <v/>
      </c>
    </row>
    <row r="13" spans="1:14" x14ac:dyDescent="0.15">
      <c r="A13">
        <v>1</v>
      </c>
      <c r="B13" s="8" t="str">
        <f>IF(AND(C4=1,C3=0),(VALUE(E7&amp;F7&amp;G7&amp;H7)+1)&amp;"/"&amp;J9&amp;"/"&amp;"20","")</f>
        <v/>
      </c>
      <c r="C13" s="9" t="str">
        <f>IF(AND(C4=1,C3=0),C7*1000,"")</f>
        <v/>
      </c>
      <c r="D13" s="9" t="str">
        <f>IFERROR(D12-C13,"")</f>
        <v/>
      </c>
      <c r="G13" s="16" t="str">
        <f>IF(AND(C4=2,C3=0),IF(J9&gt;6,VALUE(E7&amp;F7&amp;H8+1&amp;"/"&amp;J9-6&amp;"/"&amp;20),VALUE(E7&amp;F7&amp;H8&amp;"/"&amp;J9+6&amp;"/"&amp;20)),"")</f>
        <v/>
      </c>
      <c r="H13" s="17" t="str">
        <f>IF(AND(C4=2,C3=0),C7*1000,"")</f>
        <v/>
      </c>
      <c r="I13" s="18" t="str">
        <f>IFERROR(I12-H13,"")</f>
        <v/>
      </c>
      <c r="K13" s="19" t="str">
        <f>IF(AND(C4=2,C3&gt;0),IF(J9&gt;6,VALUE(E7&amp;F7&amp;H8+1&amp;"/"&amp;J9-6&amp;"/"&amp;20),VALUE(E7&amp;F7&amp;H8&amp;"/"&amp;J9+6&amp;"/"&amp;20)),"")</f>
        <v/>
      </c>
      <c r="L13" s="14" t="str">
        <f>IF(AND(C4=2,C3&gt;0),"据置①","")</f>
        <v/>
      </c>
      <c r="M13" s="18" t="str">
        <f>M12</f>
        <v/>
      </c>
    </row>
    <row r="14" spans="1:14" x14ac:dyDescent="0.15">
      <c r="A14">
        <v>2</v>
      </c>
      <c r="B14" s="8" t="str">
        <f>IF(AND(C4=1,C3=0),(VALUE(E7&amp;F7&amp;G7&amp;H7)+2)&amp;"/"&amp;J9&amp;"/"&amp;"20","")</f>
        <v/>
      </c>
      <c r="C14" s="10" t="str">
        <f>IF(AND(C4=1,C3=0),C8*1000,"")</f>
        <v/>
      </c>
      <c r="D14" s="9" t="str">
        <f t="shared" ref="D14:D27" si="1">IFERROR(IF(D13&gt;0,D13-C14,""),"")</f>
        <v/>
      </c>
      <c r="F14">
        <v>1</v>
      </c>
      <c r="G14" s="14" t="str">
        <f>IF(AND(C4=2,C3=0),(VALUE(E7&amp;F7&amp;G7&amp;H7)+1)&amp;"/"&amp;J9&amp;"/"&amp;"20","")</f>
        <v/>
      </c>
      <c r="H14" s="17" t="str">
        <f>IF(AND(C4=2,C3=0),C8*1000,"")</f>
        <v/>
      </c>
      <c r="I14" s="18" t="str">
        <f t="shared" ref="I14:I42" si="2">IFERROR(IF(I13&gt;0,I13-H14,""),"")</f>
        <v/>
      </c>
      <c r="J14">
        <v>1</v>
      </c>
      <c r="K14" s="19" t="str">
        <f>IF(AND(C4=2,C3&gt;0),IF(AND(C4=2,C3&gt;0),(VALUE(E7&amp;F7&amp;G7&amp;H7)+1)&amp;"/"&amp;J9&amp;"/"&amp;"20",""),"")</f>
        <v/>
      </c>
      <c r="L14" s="14" t="str">
        <f>IF(AND(C4=2,C3&gt;0),"据置①","")</f>
        <v/>
      </c>
      <c r="M14" s="18" t="str">
        <f>M13</f>
        <v/>
      </c>
    </row>
    <row r="15" spans="1:14" x14ac:dyDescent="0.15">
      <c r="A15">
        <v>3</v>
      </c>
      <c r="B15" s="8" t="str">
        <f>IF(AND(C4=1,C3=0,C2&gt;=3),(VALUE(E7&amp;F7&amp;G7&amp;H7)+3)&amp;"/"&amp;J9&amp;"/"&amp;"20","")</f>
        <v/>
      </c>
      <c r="C15" s="10" t="str">
        <f t="shared" ref="C15:C27" si="3">IFERROR(IF(D14&gt;0,C14,""),"")</f>
        <v/>
      </c>
      <c r="D15" s="9" t="str">
        <f t="shared" si="1"/>
        <v/>
      </c>
      <c r="G15" s="19" t="str">
        <f>IF(AND(C4=2,C3=0),IF(J9&gt;6,VALUE(E7&amp;F7&amp;H8+2&amp;"/"&amp;J9-6&amp;"/"&amp;20),VALUE(E7&amp;F7&amp;H8+1&amp;"/"&amp;J9+6&amp;"/"&amp;20)),"")</f>
        <v/>
      </c>
      <c r="H15" s="17" t="str">
        <f>IF(AND(C4=2,C3=0),C8*1000,"")</f>
        <v/>
      </c>
      <c r="I15" s="18" t="str">
        <f t="shared" si="2"/>
        <v/>
      </c>
      <c r="K15" s="19" t="str">
        <f>IF(AND(C4=2,C3&gt;0),IF(J9&gt;6,VALUE(E7&amp;F7&amp;H8+2&amp;"/"&amp;J9-6&amp;"/"&amp;20),VALUE(E7&amp;F7&amp;H8+1&amp;"/"&amp;J9+6&amp;"/"&amp;20)),"")</f>
        <v/>
      </c>
      <c r="L15" s="17" t="str">
        <f>IF(AND(C4=2,C3&gt;0),IF(C3=1,C7*1000,IF(C3&gt;=2,"据置②","")),"")</f>
        <v/>
      </c>
      <c r="M15" s="15" t="str">
        <f>IFERROR(IF(L15="据置②",M14,M14-L15),"")</f>
        <v/>
      </c>
    </row>
    <row r="16" spans="1:14" x14ac:dyDescent="0.15">
      <c r="A16">
        <v>4</v>
      </c>
      <c r="B16" s="8" t="str">
        <f>IF(AND(C4=1,C3=0,C2&gt;=4),(VALUE(E7&amp;F7&amp;G7&amp;H7)+4)&amp;"/"&amp;J9&amp;"/"&amp;"20","")</f>
        <v/>
      </c>
      <c r="C16" s="10" t="str">
        <f t="shared" si="3"/>
        <v/>
      </c>
      <c r="D16" s="9" t="str">
        <f t="shared" si="1"/>
        <v/>
      </c>
      <c r="F16">
        <v>2</v>
      </c>
      <c r="G16" s="14" t="str">
        <f>IF(AND(C4=2,C3=0),(VALUE(E7&amp;F7&amp;G7&amp;H7)+2)&amp;"/"&amp;J9&amp;"/"&amp;"20","")</f>
        <v/>
      </c>
      <c r="H16" s="17" t="str">
        <f>IF(AND(C4=2,C3=0),C8*1000,"")</f>
        <v/>
      </c>
      <c r="I16" s="18" t="str">
        <f t="shared" si="2"/>
        <v/>
      </c>
      <c r="J16">
        <v>2</v>
      </c>
      <c r="K16" s="19" t="str">
        <f>IF(AND(C4=2,C3&gt;0),IF(AND(C4=2,C3&gt;0),(VALUE(E7&amp;F7&amp;G7&amp;H7)+2)&amp;"/"&amp;J9&amp;"/"&amp;"20",""),"")</f>
        <v/>
      </c>
      <c r="L16" s="17" t="str">
        <f>IF(AND(C4=2,C3&gt;0),IF(C3=1,C8*1000,IF(C3&gt;=2,"据置②","")),"")</f>
        <v/>
      </c>
      <c r="M16" s="15" t="str">
        <f>IFERROR(IF(L16="据置②",M15,M15-L16),"")</f>
        <v/>
      </c>
    </row>
    <row r="17" spans="1:13" x14ac:dyDescent="0.15">
      <c r="A17">
        <v>5</v>
      </c>
      <c r="B17" s="8" t="str">
        <f>IF(AND(C4=1,C3=0,C2&gt;=5),(VALUE(E7&amp;F7&amp;G7&amp;H7)+5)&amp;"/"&amp;J9&amp;"/"&amp;"20","")</f>
        <v/>
      </c>
      <c r="C17" s="10" t="str">
        <f t="shared" si="3"/>
        <v/>
      </c>
      <c r="D17" s="9" t="str">
        <f t="shared" si="1"/>
        <v/>
      </c>
      <c r="G17" s="19" t="str">
        <f>IF(AND(C4=2,C3=0),IF(J9&gt;6,VALUE(E7&amp;F7&amp;H8+3&amp;"/"&amp;J9-6&amp;"/"&amp;20),VALUE(E7&amp;F7&amp;H8+2&amp;"/"&amp;J9+6&amp;"/"&amp;20)),"")</f>
        <v/>
      </c>
      <c r="H17" s="17" t="str">
        <f>IF(AND(C4=2,C3=0),C8*1000,"")</f>
        <v/>
      </c>
      <c r="I17" s="18" t="str">
        <f t="shared" si="2"/>
        <v/>
      </c>
      <c r="K17" s="19" t="str">
        <f>IF(AND(C4=2,C3&gt;0),IF(J9&gt;6,VALUE(E7&amp;F7&amp;H8+3&amp;"/"&amp;J9-6&amp;"/"&amp;20),VALUE(E7&amp;F7&amp;H8+2&amp;"/"&amp;J9+6&amp;"/"&amp;20)),"")</f>
        <v/>
      </c>
      <c r="L17" s="17" t="str">
        <f>IF(AND(C4=2,C3&gt;0),IF(C3=2,C7*1000,IF(C3=1,C8*1000,IF(C3&gt;=3,"据置③",""))),"")</f>
        <v/>
      </c>
      <c r="M17" s="15" t="str">
        <f>IFERROR(IF(L17="据置③",M16,M16-L17),"")</f>
        <v/>
      </c>
    </row>
    <row r="18" spans="1:13" x14ac:dyDescent="0.15">
      <c r="A18">
        <v>6</v>
      </c>
      <c r="B18" s="8" t="str">
        <f>IF(AND(C4=1,C3=0,C2&gt;=6),(VALUE(E7&amp;F7&amp;G7&amp;H7)+6)&amp;"/"&amp;J9&amp;"/"&amp;"20","")</f>
        <v/>
      </c>
      <c r="C18" s="10" t="str">
        <f t="shared" si="3"/>
        <v/>
      </c>
      <c r="D18" s="9" t="str">
        <f t="shared" si="1"/>
        <v/>
      </c>
      <c r="F18">
        <v>3</v>
      </c>
      <c r="G18" s="19" t="str">
        <f>IF(AND(C4=2,C3=0),(VALUE(E7&amp;F7&amp;G7&amp;H7)+3)&amp;"/"&amp;J9&amp;"/"&amp;"20","")</f>
        <v/>
      </c>
      <c r="H18" s="17" t="str">
        <f>IF(AND(C4=2,C3=0,C2&gt;=3),C8*1000,"")</f>
        <v/>
      </c>
      <c r="I18" s="18" t="str">
        <f t="shared" si="2"/>
        <v/>
      </c>
      <c r="J18">
        <v>3</v>
      </c>
      <c r="K18" s="19" t="str">
        <f>IF(AND(C4=2,C3&gt;0,C2&gt;=3),IF(AND(C4=2,C3&gt;0),(VALUE(E7&amp;F7&amp;G7&amp;H7)+3)&amp;"/"&amp;J9&amp;"/"&amp;"20",""),"")</f>
        <v/>
      </c>
      <c r="L18" s="17" t="str">
        <f>IF(AND(C4=2,C3&gt;0,C2&gt;=3),IF(OR(C3=1,C3=2),C8*1000,IF(C3&gt;=3,"据置③","")),"")</f>
        <v/>
      </c>
      <c r="M18" s="15" t="str">
        <f>IFERROR(IF(L18="据置③",M17,M17-L18),"")</f>
        <v/>
      </c>
    </row>
    <row r="19" spans="1:13" x14ac:dyDescent="0.15">
      <c r="A19">
        <v>7</v>
      </c>
      <c r="B19" s="8" t="str">
        <f>IF(AND(C4=1,C3=0,C2&gt;=7),(VALUE(E7&amp;F7&amp;G7&amp;H7)+7)&amp;"/"&amp;J9&amp;"/"&amp;"20","")</f>
        <v/>
      </c>
      <c r="C19" s="10" t="str">
        <f t="shared" si="3"/>
        <v/>
      </c>
      <c r="D19" s="9" t="str">
        <f t="shared" si="1"/>
        <v/>
      </c>
      <c r="G19" s="19" t="str">
        <f>IF(AND(C4=2,C3=0,C2&gt;3),IF(J9&gt;6,VALUE(E7&amp;F7&amp;H8+4&amp;"/"&amp;J9-6&amp;"/"&amp;20),VALUE(E7&amp;F7&amp;H8+3&amp;"/"&amp;J9+6&amp;"/"&amp;20)),"")</f>
        <v/>
      </c>
      <c r="H19" s="17" t="str">
        <f>IF(AND(C4=2,C3=0,C2&gt;3),C8*1000,"")</f>
        <v/>
      </c>
      <c r="I19" s="18" t="str">
        <f t="shared" si="2"/>
        <v/>
      </c>
      <c r="K19" s="19" t="str">
        <f>IF(AND(C4=2,C3&gt;0,C2&gt;3),IF(J9&gt;6,VALUE(E7&amp;F7&amp;H8+4&amp;"/"&amp;J9-6&amp;"/"&amp;20),VALUE(E7&amp;F7&amp;H8+3&amp;"/"&amp;J9+6&amp;"/"&amp;20)),"")</f>
        <v/>
      </c>
      <c r="L19" s="17" t="str">
        <f>IF(AND(C4=2,C3&gt;0,C2&gt;3),IF(C3=3,C7*1000,IF(C3&gt;=4,"据置④",IF(OR(C3=1,C3=2),C8*1000,""))),"")</f>
        <v/>
      </c>
      <c r="M19" s="15" t="str">
        <f>IFERROR(IF(L19="据置④",M18,M18-L19),"")</f>
        <v/>
      </c>
    </row>
    <row r="20" spans="1:13" x14ac:dyDescent="0.15">
      <c r="A20">
        <v>8</v>
      </c>
      <c r="B20" s="8" t="str">
        <f>IF(AND(C4=1,C3=0,C2&gt;=8),(VALUE(E7&amp;F7&amp;G7&amp;H7)+8)&amp;"/"&amp;J9&amp;"/"&amp;"20","")</f>
        <v/>
      </c>
      <c r="C20" s="10" t="str">
        <f t="shared" si="3"/>
        <v/>
      </c>
      <c r="D20" s="9" t="str">
        <f t="shared" si="1"/>
        <v/>
      </c>
      <c r="F20">
        <v>4</v>
      </c>
      <c r="G20" s="19" t="str">
        <f>IF(AND(C4=2,C3=0,C2&gt;=4),(VALUE(E7&amp;F7&amp;G7&amp;H7)+4)&amp;"/"&amp;J9&amp;"/"&amp;"20","")</f>
        <v/>
      </c>
      <c r="H20" s="17" t="str">
        <f>IF(AND(C4=2,C3=0,C2&gt;=4),C8*1000,"")</f>
        <v/>
      </c>
      <c r="I20" s="18" t="str">
        <f t="shared" si="2"/>
        <v/>
      </c>
      <c r="J20">
        <v>4</v>
      </c>
      <c r="K20" s="19" t="str">
        <f>IF(AND(C4=2,C3&gt;0,C2&gt;=4),IF(AND(C4=2,C3&gt;0),(VALUE(E7&amp;F7&amp;G7&amp;H7)+4)&amp;"/"&amp;J9&amp;"/"&amp;"20",""),"")</f>
        <v/>
      </c>
      <c r="L20" s="17" t="str">
        <f>IF(AND(C4=2,C3&gt;0,C2&gt;=4),IF(OR(C3=1,C3=2,C3=3),C8*1000,IF(C3&gt;=4,"据置④","")),"")</f>
        <v/>
      </c>
      <c r="M20" s="15" t="str">
        <f>IFERROR(IF(L20="据置④",M19,M19-L20),"")</f>
        <v/>
      </c>
    </row>
    <row r="21" spans="1:13" x14ac:dyDescent="0.15">
      <c r="A21">
        <v>9</v>
      </c>
      <c r="B21" s="8" t="str">
        <f>IF(AND(C4=1,C3=0,C2&gt;=9),(VALUE(E7&amp;F7&amp;G7&amp;H7)+9)&amp;"/"&amp;J9&amp;"/"&amp;"20","")</f>
        <v/>
      </c>
      <c r="C21" s="10" t="str">
        <f t="shared" si="3"/>
        <v/>
      </c>
      <c r="D21" s="9" t="str">
        <f t="shared" si="1"/>
        <v/>
      </c>
      <c r="G21" s="19" t="str">
        <f>IF(AND(C4=2,C3=0,C2&gt;4),IF(J9&gt;6,VALUE(E7&amp;F7&amp;H8+5&amp;"/"&amp;J9-6&amp;"/"&amp;20),VALUE(E7&amp;F7&amp;H8+4&amp;"/"&amp;J9+6&amp;"/"&amp;20)),"")</f>
        <v/>
      </c>
      <c r="H21" s="17" t="str">
        <f>IF(AND(C4=2,C3=0,C2&gt;4),C8*1000,"")</f>
        <v/>
      </c>
      <c r="I21" s="18" t="str">
        <f t="shared" si="2"/>
        <v/>
      </c>
      <c r="K21" s="19" t="str">
        <f>IF(AND(C4=2,C3&gt;0,C2&gt;4),IF(J9&gt;6,VALUE(E7&amp;F7&amp;H8+5&amp;"/"&amp;J9-6&amp;"/"&amp;20),VALUE(E7&amp;F7&amp;H8+4&amp;"/"&amp;J9+6&amp;"/"&amp;20)),"")</f>
        <v/>
      </c>
      <c r="L21" s="17" t="str">
        <f>IF(AND(C4=2,C3&gt;0,C2&gt;4),IF(C3=4,C7*1000,IF(C3&gt;=5,"据置⑤",IF(OR(C3=1,C3=2,C3=3),C8*1000,""))),"")</f>
        <v/>
      </c>
      <c r="M21" s="15" t="str">
        <f>IFERROR(IF(L21="据置⑤",M20,M20-L21),"")</f>
        <v/>
      </c>
    </row>
    <row r="22" spans="1:13" x14ac:dyDescent="0.15">
      <c r="A22">
        <v>10</v>
      </c>
      <c r="B22" s="8" t="str">
        <f>IF(AND(C4=1,C3=0,C2&gt;=10),(VALUE(E7&amp;F7&amp;G7&amp;H7)+10)&amp;"/"&amp;J9&amp;"/"&amp;"20","")</f>
        <v/>
      </c>
      <c r="C22" s="10" t="str">
        <f t="shared" si="3"/>
        <v/>
      </c>
      <c r="D22" s="9" t="str">
        <f t="shared" si="1"/>
        <v/>
      </c>
      <c r="F22">
        <v>5</v>
      </c>
      <c r="G22" s="19" t="str">
        <f>IF(AND(C4=2,C3=0,C2&gt;=5),(VALUE(E7&amp;F7&amp;G7&amp;H7)+5)&amp;"/"&amp;J9&amp;"/"&amp;"20","")</f>
        <v/>
      </c>
      <c r="H22" s="17" t="str">
        <f>IF(AND(C4=2,C3=0,C2&gt;=5),C8*1000,"")</f>
        <v/>
      </c>
      <c r="I22" s="18" t="str">
        <f t="shared" si="2"/>
        <v/>
      </c>
      <c r="J22">
        <v>5</v>
      </c>
      <c r="K22" s="19" t="str">
        <f>IF(AND(C4=2,C3&gt;0,C2&gt;=5),IF(AND(C4=2,C3&gt;0),(VALUE(E7&amp;F7&amp;G7&amp;H7)+5)&amp;"/"&amp;J9&amp;"/"&amp;"20",""),"")</f>
        <v/>
      </c>
      <c r="L22" s="17" t="str">
        <f>IF(AND(C4=2,C3&gt;0,C2&gt;=5),IF(OR(C3=1,C3=2,C3=3,C3=4),C8*1000,IF(C3&gt;=5,"据置⑤","")),"")</f>
        <v/>
      </c>
      <c r="M22" s="15" t="str">
        <f>IFERROR(IF(L22="据置⑤",M21,M21-L22),"")</f>
        <v/>
      </c>
    </row>
    <row r="23" spans="1:13" x14ac:dyDescent="0.15">
      <c r="A23">
        <v>11</v>
      </c>
      <c r="B23" s="8" t="str">
        <f>IF(AND(C4=1,C3=0,C2&gt;=11),(VALUE(E7&amp;F7&amp;G7&amp;H7)+11)&amp;"/"&amp;J9&amp;"/"&amp;"20","")</f>
        <v/>
      </c>
      <c r="C23" s="10" t="str">
        <f t="shared" si="3"/>
        <v/>
      </c>
      <c r="D23" s="9" t="str">
        <f t="shared" si="1"/>
        <v/>
      </c>
      <c r="F23" s="3"/>
      <c r="G23" s="19" t="str">
        <f>IF(AND(C4=2,C3=0,C2&gt;5),IF(J9&gt;6,VALUE(E7&amp;F7&amp;H8+6&amp;"/"&amp;J9-6&amp;"/"&amp;20),VALUE(E7&amp;F7&amp;H8+5&amp;"/"&amp;J9+6&amp;"/"&amp;20)),"")</f>
        <v/>
      </c>
      <c r="H23" s="12" t="str">
        <f>IF(AND(C4=2,C3=0,C2&gt;5),C8*1000,"")</f>
        <v/>
      </c>
      <c r="I23" s="18" t="str">
        <f t="shared" si="2"/>
        <v/>
      </c>
      <c r="K23" s="19" t="str">
        <f>IF(AND(C4=2,C3&gt;0,C2&gt;5),IF(J9&gt;6,VALUE(E7&amp;F7&amp;H8+6&amp;"/"&amp;J9-6&amp;"/"&amp;20),VALUE(E7&amp;F7&amp;H8+5&amp;"/"&amp;J9+6&amp;"/"&amp;20)),"")</f>
        <v/>
      </c>
      <c r="L23" s="17" t="str">
        <f>IF(AND(C4=2,C3&gt;0,C2&gt;5),IF(C3=5,C7*1000,IF(C3&gt;=6,"据置⑥",IF(OR(C3=1,C3=2,C3=3,C3=4),C8*1000,""))),"")</f>
        <v/>
      </c>
      <c r="M23" s="15" t="str">
        <f>IFERROR(IF(L23="据置⑥",M22,M22-L23),"")</f>
        <v/>
      </c>
    </row>
    <row r="24" spans="1:13" x14ac:dyDescent="0.15">
      <c r="A24">
        <v>12</v>
      </c>
      <c r="B24" s="8" t="str">
        <f>IF(AND(C4=1,C3=0,C2&gt;=12),(VALUE(E7&amp;F7&amp;G7&amp;H7)+12)&amp;"/"&amp;J9&amp;"/"&amp;"20","")</f>
        <v/>
      </c>
      <c r="C24" s="10" t="str">
        <f t="shared" si="3"/>
        <v/>
      </c>
      <c r="D24" s="9" t="str">
        <f t="shared" si="1"/>
        <v/>
      </c>
      <c r="F24">
        <v>6</v>
      </c>
      <c r="G24" s="19" t="str">
        <f>IF(AND(C4=2,C3=0,C2&gt;=6),(VALUE(E7&amp;F7&amp;G7&amp;H7)+6)&amp;"/"&amp;J9&amp;"/"&amp;"20","")</f>
        <v/>
      </c>
      <c r="H24" s="17" t="str">
        <f>IF(AND(C4=2,C3=0,C2&gt;=6),C8*1000,"")</f>
        <v/>
      </c>
      <c r="I24" s="18" t="str">
        <f t="shared" si="2"/>
        <v/>
      </c>
      <c r="J24">
        <v>6</v>
      </c>
      <c r="K24" s="19" t="str">
        <f>IF(AND(C4=2,C3&gt;0,C2&gt;=6),IF(AND(C4=2,C3&gt;0),(VALUE(E7&amp;F7&amp;G7&amp;H7)+6)&amp;"/"&amp;J9&amp;"/"&amp;"20",""),"")</f>
        <v/>
      </c>
      <c r="L24" s="17" t="str">
        <f>IF(AND(C4=2,C3&gt;0,C2&gt;=6),IF(OR(C3=1,C3=2,C3=3,C3=4,C3=5),C8*1000,IF(C3&gt;=6,"据置⑥","")),"")</f>
        <v/>
      </c>
      <c r="M24" s="15" t="str">
        <f>IFERROR(IF(L24="据置⑥",M23,M23-L24),"")</f>
        <v/>
      </c>
    </row>
    <row r="25" spans="1:13" x14ac:dyDescent="0.15">
      <c r="A25">
        <v>13</v>
      </c>
      <c r="B25" s="8" t="str">
        <f>IF(AND(C4=1,C3=0,C2&gt;=13),(VALUE(E7&amp;F7&amp;G7&amp;H7)+13)&amp;"/"&amp;J9&amp;"/"&amp;"20","")</f>
        <v/>
      </c>
      <c r="C25" s="10" t="str">
        <f t="shared" si="3"/>
        <v/>
      </c>
      <c r="D25" s="9" t="str">
        <f t="shared" si="1"/>
        <v/>
      </c>
      <c r="G25" s="19" t="str">
        <f>IF(AND(C4=2,C3=0,C2&gt;6),IF(J9&gt;6,VALUE(E7&amp;F7&amp;H8+7&amp;"/"&amp;J9-6&amp;"/"&amp;20),VALUE(E7&amp;F7&amp;H8+6&amp;"/"&amp;J9+6&amp;"/"&amp;20)),"")</f>
        <v/>
      </c>
      <c r="H25" s="17" t="str">
        <f>IF(AND(C4=2,C3=0,C2&gt;6),C8*1000,"")</f>
        <v/>
      </c>
      <c r="I25" s="18" t="str">
        <f t="shared" si="2"/>
        <v/>
      </c>
      <c r="K25" s="19" t="str">
        <f>IF(AND(C4=2,C3&gt;0,C2&gt;6),IF(J9&gt;6,VALUE(E7&amp;F7&amp;H8+7&amp;"/"&amp;J9-6&amp;"/"&amp;20),VALUE(E7&amp;F7&amp;H8+6&amp;"/"&amp;J9+6&amp;"/"&amp;20)),"")</f>
        <v/>
      </c>
      <c r="L25" s="17" t="str">
        <f>IF(AND(C4=2,C3&gt;0,C2&gt;6),IF(C3=6,C7*1000,IF(C3&gt;=7,"据置⑦",IF(OR(C3=1,C3=2,C3=3,C3=4,C3=5),C8*1000,""))),"")</f>
        <v/>
      </c>
      <c r="M25" s="15" t="str">
        <f>IFERROR(IF(L25="据置⑦",M24,M24-L25),"")</f>
        <v/>
      </c>
    </row>
    <row r="26" spans="1:13" x14ac:dyDescent="0.15">
      <c r="A26">
        <v>14</v>
      </c>
      <c r="B26" s="8" t="str">
        <f>IF(AND(C4=1,C3=0,C2&gt;=14),(VALUE(E7&amp;F7&amp;G7&amp;H7)+14)&amp;"/"&amp;J9&amp;"/"&amp;"20","")</f>
        <v/>
      </c>
      <c r="C26" s="10" t="str">
        <f t="shared" si="3"/>
        <v/>
      </c>
      <c r="D26" s="9" t="str">
        <f t="shared" si="1"/>
        <v/>
      </c>
      <c r="F26">
        <v>7</v>
      </c>
      <c r="G26" s="19" t="str">
        <f>IF(AND(C4=2,C3=0,C2&gt;=7),(VALUE(E7&amp;F7&amp;G7&amp;H7)+7)&amp;"/"&amp;J9&amp;"/"&amp;"20","")</f>
        <v/>
      </c>
      <c r="H26" s="17" t="str">
        <f>IF(AND(C4=2,C3=0,C2&gt;=7),C8*1000,"")</f>
        <v/>
      </c>
      <c r="I26" s="18" t="str">
        <f t="shared" si="2"/>
        <v/>
      </c>
      <c r="J26">
        <v>7</v>
      </c>
      <c r="K26" s="20" t="str">
        <f>IF(AND(C4=2,C3&gt;0,C2&gt;=7),IF(AND(C4=2,C3&gt;0),(VALUE(E7&amp;F7&amp;G7&amp;H7)+7)&amp;"/"&amp;J9&amp;"/"&amp;"20",""),"")</f>
        <v/>
      </c>
      <c r="L26" s="43" t="str">
        <f>IF(AND(C4=2,C3&gt;0,C2&gt;=7),IF(OR(C3=1,C3=2,C3=3,C3=4,C3=5,C3=6),C8*1000,IF(C3=7,"据置⑦","")),"")</f>
        <v/>
      </c>
      <c r="M26" s="15" t="str">
        <f>IFERROR(IF(L26="据置⑦",M25,M25-L26),"")</f>
        <v/>
      </c>
    </row>
    <row r="27" spans="1:13" x14ac:dyDescent="0.15">
      <c r="A27">
        <v>15</v>
      </c>
      <c r="B27" s="11" t="str">
        <f>IF(AND(C4=1,C3=0,C2=15),(VALUE(E7&amp;F7&amp;G7&amp;H7)+15)&amp;"/"&amp;J9&amp;"/"&amp;"20","")</f>
        <v/>
      </c>
      <c r="C27" s="10" t="str">
        <f t="shared" si="3"/>
        <v/>
      </c>
      <c r="D27" s="9" t="str">
        <f t="shared" si="1"/>
        <v/>
      </c>
      <c r="G27" s="19" t="str">
        <f>IF(AND(C4=2,C3=0,C2&gt;7),IF(J9&gt;6,VALUE(E7&amp;F7&amp;H8+8&amp;"/"&amp;J9-6&amp;"/"&amp;20),VALUE(E7&amp;F7&amp;H8+7&amp;"/"&amp;J9+6&amp;"/"&amp;20)),"")</f>
        <v/>
      </c>
      <c r="H27" s="17" t="str">
        <f>IF(AND(C4=2,C3=0,C2&gt;7),C8*1000,"")</f>
        <v/>
      </c>
      <c r="I27" s="18" t="str">
        <f t="shared" si="2"/>
        <v/>
      </c>
      <c r="K27" s="19" t="str">
        <f>IF(AND(C4=2,C3&gt;0,C2&gt;7),IF(J9&gt;6,VALUE(E7&amp;F7&amp;H8+8&amp;"/"&amp;J9-6&amp;"/"&amp;20),VALUE(E7&amp;F7&amp;H8+7&amp;"/"&amp;J9+6&amp;"/"&amp;20)),"")</f>
        <v/>
      </c>
      <c r="L27" s="17" t="str">
        <f>IF(AND(C4=2,C3&gt;0,C2&gt;7),IF(C3=7,C7*1000,IF(OR(C3=1,C3=2,C3=3,C3=4,C3=5,C3=6),C8*1000,IF(C3&gt;=8,C8*1000,""))),"")</f>
        <v/>
      </c>
      <c r="M27" s="18" t="str">
        <f t="shared" ref="M27:M42" si="4">IFERROR(M26-L27,"")</f>
        <v/>
      </c>
    </row>
    <row r="28" spans="1:13" x14ac:dyDescent="0.15">
      <c r="B28" s="2"/>
      <c r="D28" s="3"/>
      <c r="F28">
        <v>8</v>
      </c>
      <c r="G28" s="19" t="str">
        <f>IF(AND(C4=2,C3=0,C2&gt;=8),(VALUE(E7&amp;F7&amp;G7&amp;H7)+8)&amp;"/"&amp;J9&amp;"/"&amp;"20","")</f>
        <v/>
      </c>
      <c r="H28" s="17" t="str">
        <f>IF(AND(C4=2,C3=0,C2&gt;=8),C8*1000,"")</f>
        <v/>
      </c>
      <c r="I28" s="18" t="str">
        <f t="shared" si="2"/>
        <v/>
      </c>
      <c r="J28">
        <v>8</v>
      </c>
      <c r="K28" s="19" t="str">
        <f>IF(AND(C4=2,C3&gt;0,C2&gt;=8),IF(AND(C4=2,C3&gt;0),(VALUE(E7&amp;F7&amp;G7&amp;H7)+8)&amp;"/"&amp;J9&amp;"/"&amp;"20",""),"")</f>
        <v/>
      </c>
      <c r="L28" s="17" t="str">
        <f>IF(AND(C4=2,C3&gt;0,C2&gt;=8),IF(C3=7,C8*1000,IF(OR(C3=1,C3=2,C3=3,C3=4,C3=5,C3=6),C8*1000,IF(C3&gt;=8,C8*1000,""))),"")</f>
        <v/>
      </c>
      <c r="M28" s="18" t="str">
        <f t="shared" si="4"/>
        <v/>
      </c>
    </row>
    <row r="29" spans="1:13" x14ac:dyDescent="0.15">
      <c r="B29" s="41" t="s">
        <v>684</v>
      </c>
      <c r="C29" s="32" t="s">
        <v>685</v>
      </c>
      <c r="D29" s="33"/>
      <c r="G29" s="19" t="str">
        <f>IF(AND(C4=2,C3=0,C2&gt;8),IF(J9&gt;6,VALUE(E7&amp;F7&amp;H8+9&amp;"/"&amp;J9-6&amp;"/"&amp;20),VALUE(E7&amp;F7&amp;H8+8&amp;"/"&amp;J9+6&amp;"/"&amp;20)),"")</f>
        <v/>
      </c>
      <c r="H29" s="17" t="str">
        <f>IF(AND(C4=2,C3=0,C2&gt;8),C8*1000,"")</f>
        <v/>
      </c>
      <c r="I29" s="18" t="str">
        <f t="shared" si="2"/>
        <v/>
      </c>
      <c r="K29" s="19" t="str">
        <f>IF(AND(C4=2,C3&gt;0,C2&gt;8),IF(J9&gt;6,VALUE(E7&amp;F7&amp;H8+9&amp;"/"&amp;J9-6&amp;"/"&amp;20),VALUE(E7&amp;F7&amp;H8+8&amp;"/"&amp;J9+6&amp;"/"&amp;20)),"")</f>
        <v/>
      </c>
      <c r="L29" s="17" t="str">
        <f>IF(AND(C4=2,C3&gt;0,C2&gt;8),C8*1000,"")</f>
        <v/>
      </c>
      <c r="M29" s="18" t="str">
        <f t="shared" si="4"/>
        <v/>
      </c>
    </row>
    <row r="30" spans="1:13" x14ac:dyDescent="0.15">
      <c r="B30" s="31" t="s">
        <v>566</v>
      </c>
      <c r="C30" s="31" t="s">
        <v>688</v>
      </c>
      <c r="D30" s="31" t="s">
        <v>567</v>
      </c>
      <c r="F30">
        <v>9</v>
      </c>
      <c r="G30" s="19" t="str">
        <f>IF(AND(C4=2,C3=0,C2&gt;=9),(VALUE(E7&amp;F7&amp;G7&amp;H7)+9)&amp;"/"&amp;J9&amp;"/"&amp;"20","")</f>
        <v/>
      </c>
      <c r="H30" s="17" t="str">
        <f>IF(AND(C4=2,C3=0,C2&gt;=9),C8*1000,"")</f>
        <v/>
      </c>
      <c r="I30" s="18" t="str">
        <f t="shared" si="2"/>
        <v/>
      </c>
      <c r="J30">
        <v>9</v>
      </c>
      <c r="K30" s="19" t="str">
        <f>IF(AND(C4=2,C3&gt;0,C2&gt;=9),IF(AND(C4=2,C3&gt;0),(VALUE(E7&amp;F7&amp;G7&amp;H7)+9)&amp;"/"&amp;J9&amp;"/"&amp;"20",""),"")</f>
        <v/>
      </c>
      <c r="L30" s="17" t="str">
        <f>IF(AND(C4=2,C3&gt;0,C2&gt;=9),C8*1000,"")</f>
        <v/>
      </c>
      <c r="M30" s="18" t="str">
        <f t="shared" si="4"/>
        <v/>
      </c>
    </row>
    <row r="31" spans="1:13" x14ac:dyDescent="0.15">
      <c r="B31" s="8" t="str">
        <f>IF(AND(C4=1,C3&gt;0),C6,"")</f>
        <v/>
      </c>
      <c r="C31" s="7" t="str">
        <f>IF(AND(C4=1,C3&gt;0),"貸付実行日","")</f>
        <v/>
      </c>
      <c r="D31" s="9" t="str">
        <f>IF(AND(C4=1,C3&gt;0),C1*1000,"")</f>
        <v/>
      </c>
      <c r="G31" s="19" t="str">
        <f>IF(AND(C4=2,C3=0,C2&gt;9),IF(J9&gt;6,VALUE(E7&amp;F7&amp;H8+10&amp;"/"&amp;J9-6&amp;"/"&amp;20),VALUE(E7&amp;F7&amp;H8+9&amp;"/"&amp;J9+6&amp;"/"&amp;20)),"")</f>
        <v/>
      </c>
      <c r="H31" s="17" t="str">
        <f>IF(AND(C4=2,C3=0,C2&gt;9),C8*1000,"")</f>
        <v/>
      </c>
      <c r="I31" s="18" t="str">
        <f t="shared" si="2"/>
        <v/>
      </c>
      <c r="K31" s="19" t="str">
        <f>IF(AND(C4=2,C3&gt;0,C2&gt;9),IF(J9&gt;6,VALUE(E7&amp;F7&amp;H8+10&amp;"/"&amp;J9-6&amp;"/"&amp;20),VALUE(E7&amp;F7&amp;H8+9&amp;"/"&amp;J9+6&amp;"/"&amp;20)),"")</f>
        <v/>
      </c>
      <c r="L31" s="17" t="str">
        <f>IF(AND(C4=2,C3&gt;0,C2&gt;9),C8*1000,"")</f>
        <v/>
      </c>
      <c r="M31" s="18" t="str">
        <f t="shared" si="4"/>
        <v/>
      </c>
    </row>
    <row r="32" spans="1:13" x14ac:dyDescent="0.15">
      <c r="A32">
        <v>1</v>
      </c>
      <c r="B32" s="8" t="str">
        <f>IF(AND(C4=1,C3&gt;0),(VALUE(E7&amp;F7&amp;G7&amp;H7)+1)&amp;"/"&amp;J9&amp;"/"&amp;"20","")</f>
        <v/>
      </c>
      <c r="C32" s="7" t="str">
        <f>IF(AND(C4=1,C3&gt;0),"据置①","")</f>
        <v/>
      </c>
      <c r="D32" s="9" t="str">
        <f>D31</f>
        <v/>
      </c>
      <c r="F32">
        <v>10</v>
      </c>
      <c r="G32" s="19" t="str">
        <f>IF(AND(C4=2,C3=0,C2&gt;=10),(VALUE(E7&amp;F7&amp;G7&amp;H7)+10)&amp;"/"&amp;J9&amp;"/"&amp;"20","")</f>
        <v/>
      </c>
      <c r="H32" s="17" t="str">
        <f>IF(AND(C4=2,C3=0,C2&gt;=10),C8*1000,"")</f>
        <v/>
      </c>
      <c r="I32" s="18" t="str">
        <f t="shared" si="2"/>
        <v/>
      </c>
      <c r="J32">
        <v>10</v>
      </c>
      <c r="K32" s="19" t="str">
        <f>IF(AND(C4=2,C3&gt;0,C2&gt;=10),IF(AND(C4=2,C3&gt;0),(VALUE(E7&amp;F7&amp;G7&amp;H7)+10)&amp;"/"&amp;J9&amp;"/"&amp;"20",""),"")</f>
        <v/>
      </c>
      <c r="L32" s="17" t="str">
        <f>IF(AND(C4=2,C3&gt;0,C2&gt;=10),C8*1000,"")</f>
        <v/>
      </c>
      <c r="M32" s="18" t="str">
        <f t="shared" si="4"/>
        <v/>
      </c>
    </row>
    <row r="33" spans="1:13" x14ac:dyDescent="0.15">
      <c r="A33">
        <v>2</v>
      </c>
      <c r="B33" s="8" t="str">
        <f>IF(AND(C4=1,C3&gt;0),(VALUE(E7&amp;F7&amp;G7&amp;H7)+2)&amp;"/"&amp;J9&amp;"/"&amp;"20","")</f>
        <v/>
      </c>
      <c r="C33" s="12" t="str">
        <f>IF(C4=1,IF(C3=1,C7*1000,IF(C3=0,"","据置②")),"")</f>
        <v/>
      </c>
      <c r="D33" s="9" t="str">
        <f>IFERROR(IF(C33="据置②",D32,D32-C33),"")</f>
        <v/>
      </c>
      <c r="G33" s="19" t="str">
        <f>IF(AND(C4=2,C3=0,C2&gt;10),IF(J9&gt;6,VALUE(E7&amp;F7&amp;H8+11&amp;"/"&amp;J9-6&amp;"/"&amp;20),VALUE(E7&amp;F7&amp;H8+10&amp;"/"&amp;J9+6&amp;"/"&amp;20)),"")</f>
        <v/>
      </c>
      <c r="H33" s="17" t="str">
        <f>IF(AND(C4=2,C3=0,C2&gt;10),C8*1000,"")</f>
        <v/>
      </c>
      <c r="I33" s="18" t="str">
        <f t="shared" si="2"/>
        <v/>
      </c>
      <c r="K33" s="19" t="str">
        <f>IF(AND(C4=2,C3&gt;0,C2&gt;10),IF(J9&gt;6,VALUE(E7&amp;F7&amp;H8+11&amp;"/"&amp;J9-6&amp;"/"&amp;20),VALUE(E7&amp;F7&amp;H8+10&amp;"/"&amp;J9+6&amp;"/"&amp;20)),"")</f>
        <v/>
      </c>
      <c r="L33" s="17" t="str">
        <f>IF(AND(C4=2,C3&gt;0,C2&gt;10),C8*1000,"")</f>
        <v/>
      </c>
      <c r="M33" s="18" t="str">
        <f t="shared" si="4"/>
        <v/>
      </c>
    </row>
    <row r="34" spans="1:13" x14ac:dyDescent="0.15">
      <c r="A34">
        <v>3</v>
      </c>
      <c r="B34" s="8" t="str">
        <f>IF(AND(C2&gt;=3,C4=1,C3&gt;0),(VALUE(E7&amp;F7&amp;G7&amp;H7)+3)&amp;"/"&amp;J9&amp;"/"&amp;"20","")</f>
        <v/>
      </c>
      <c r="C34" s="12" t="str">
        <f>IF(C4=1,IF(C3=1,C8*1000,IF(C3=2,C7*1000,IF(C3&gt;=3,"据置③",""))),"")</f>
        <v/>
      </c>
      <c r="D34" s="9" t="str">
        <f>IFERROR(IF(C34="据置③",D32,D33-C34),"")</f>
        <v/>
      </c>
      <c r="F34">
        <v>11</v>
      </c>
      <c r="G34" s="19" t="str">
        <f>IF(AND(C4=2,C3=0,C2&gt;=11),(VALUE(E7&amp;F7&amp;G7&amp;H7)+11)&amp;"/"&amp;J9&amp;"/"&amp;"20","")</f>
        <v/>
      </c>
      <c r="H34" s="17" t="str">
        <f>IF(AND(C4=2,C3=0,C2&gt;=11),C8*1000,"")</f>
        <v/>
      </c>
      <c r="I34" s="18" t="str">
        <f t="shared" si="2"/>
        <v/>
      </c>
      <c r="J34">
        <v>11</v>
      </c>
      <c r="K34" s="19" t="str">
        <f>IF(AND(C4=2,C3&gt;0,C2&gt;=11),IF(AND(C4=2,C3&gt;0),(VALUE(E7&amp;F7&amp;G7&amp;H7)+11)&amp;"/"&amp;J9&amp;"/"&amp;"20",""),"")</f>
        <v/>
      </c>
      <c r="L34" s="17" t="str">
        <f>IF(AND(C4=2,C3&gt;0,C2&gt;=11),C8*1000,"")</f>
        <v/>
      </c>
      <c r="M34" s="18" t="str">
        <f t="shared" si="4"/>
        <v/>
      </c>
    </row>
    <row r="35" spans="1:13" x14ac:dyDescent="0.15">
      <c r="A35">
        <v>4</v>
      </c>
      <c r="B35" s="8" t="str">
        <f>IF(AND(C2&gt;=4,C4=1,C3&gt;0),(VALUE(E7&amp;F7&amp;G7&amp;H7)+4)&amp;"/"&amp;J9&amp;"/"&amp;"20","")</f>
        <v/>
      </c>
      <c r="C35" s="12" t="str">
        <f>IF(C4=1,IF(C3=3,C7*1000,IF(AND(OR(C3=2,C3=1),C2&gt;=4),C8*1000,IF(C3&gt;3,"据置④",""))),"")</f>
        <v/>
      </c>
      <c r="D35" s="9" t="str">
        <f>IFERROR(IF(C35="据置④",D34,D34-C35),"")</f>
        <v/>
      </c>
      <c r="G35" s="19" t="str">
        <f>IF(AND(C4=2,C3=0,C2&gt;11),IF(J9&gt;6,VALUE(E7&amp;F7&amp;H8+12&amp;"/"&amp;J9-6&amp;"/"&amp;20),VALUE(E7&amp;F7&amp;H8+11&amp;"/"&amp;J9+6&amp;"/"&amp;20)),"")</f>
        <v/>
      </c>
      <c r="H35" s="17" t="str">
        <f>IF(AND(C4=2,C3=0,C2&gt;11),C8*1000,"")</f>
        <v/>
      </c>
      <c r="I35" s="18" t="str">
        <f t="shared" si="2"/>
        <v/>
      </c>
      <c r="K35" s="19" t="str">
        <f>IF(AND(C4=2,C3&gt;0,C2&gt;11),IF(J9&gt;6,VALUE(E7&amp;F7&amp;H8+12&amp;"/"&amp;J9-6&amp;"/"&amp;20),VALUE(E7&amp;F7&amp;H8+11&amp;"/"&amp;J9+6&amp;"/"&amp;20)),"")</f>
        <v/>
      </c>
      <c r="L35" s="17" t="str">
        <f>IF(AND(C4=2,C3&gt;0,C2&gt;11),C8*1000,"")</f>
        <v/>
      </c>
      <c r="M35" s="18" t="str">
        <f t="shared" si="4"/>
        <v/>
      </c>
    </row>
    <row r="36" spans="1:13" x14ac:dyDescent="0.15">
      <c r="A36">
        <v>5</v>
      </c>
      <c r="B36" s="8" t="str">
        <f>IF(AND(C2&gt;=5,C4=1,C3&gt;0),(VALUE(E7&amp;F7&amp;G7&amp;H7)+5)&amp;"/"&amp;J9&amp;"/"&amp;"20","")</f>
        <v/>
      </c>
      <c r="C36" s="12" t="str">
        <f>IF(C4=1,IF(C3=4,C7*1000,IF(AND(C2&gt;=5,C3&lt;=3,NOT(C3=0)),C8*1000,IF(C3&gt;4,"据置⑤",""))),"")</f>
        <v/>
      </c>
      <c r="D36" s="9" t="str">
        <f>IFERROR(IF(C36="据置⑤",D35,D35-C36),"")</f>
        <v/>
      </c>
      <c r="F36">
        <v>12</v>
      </c>
      <c r="G36" s="19" t="str">
        <f>IF(AND(C4=2,C3=0,C2&gt;=12),(VALUE(E7&amp;F7&amp;G7&amp;H7)+12)&amp;"/"&amp;J9&amp;"/"&amp;"20","")</f>
        <v/>
      </c>
      <c r="H36" s="17" t="str">
        <f>IF(AND(C4=2,C3=0,C2&gt;=12),C8*1000,"")</f>
        <v/>
      </c>
      <c r="I36" s="18" t="str">
        <f t="shared" si="2"/>
        <v/>
      </c>
      <c r="J36">
        <v>12</v>
      </c>
      <c r="K36" s="19" t="str">
        <f>IF(AND(C4=2,C3&gt;0,C2&gt;=12),IF(AND(C4=2,C3&gt;0),(VALUE(E7&amp;F7&amp;G7&amp;H7)+12)&amp;"/"&amp;J9&amp;"/"&amp;"20",""),"")</f>
        <v/>
      </c>
      <c r="L36" s="17" t="str">
        <f>IF(AND(C4=2,C3&gt;0,C2&gt;=12),C8*1000,"")</f>
        <v/>
      </c>
      <c r="M36" s="18" t="str">
        <f t="shared" si="4"/>
        <v/>
      </c>
    </row>
    <row r="37" spans="1:13" x14ac:dyDescent="0.15">
      <c r="A37">
        <v>6</v>
      </c>
      <c r="B37" s="8" t="str">
        <f>IF(AND(C2&gt;=6,C4=1,C3&gt;0),(VALUE(E7&amp;F7&amp;G7&amp;H7)+6)&amp;"/"&amp;J9&amp;"/"&amp;"20","")</f>
        <v/>
      </c>
      <c r="C37" s="12" t="str">
        <f>IF(C4=1,IF(C3=5,C7*1000,IF(AND(C2&gt;=6,C3&lt;=4,NOT(C3=0)),C8*1000,IF(C3&gt;5,"据置⑥",""))),"")</f>
        <v/>
      </c>
      <c r="D37" s="9" t="str">
        <f>IFERROR(IF(C37="据置⑥",D36,D36-C37),"")</f>
        <v/>
      </c>
      <c r="G37" s="19" t="str">
        <f>IF(AND(C4=2,C3=0,C2&gt;12),IF(J9&gt;6,VALUE(E7&amp;F7&amp;H8+13&amp;"/"&amp;J9-6&amp;"/"&amp;20),VALUE(E7&amp;F7&amp;H8+12&amp;"/"&amp;J9+6&amp;"/"&amp;20)),"")</f>
        <v/>
      </c>
      <c r="H37" s="17" t="str">
        <f>IF(AND(C4=2,C3=0,C2&gt;12),C8*1000,"")</f>
        <v/>
      </c>
      <c r="I37" s="18" t="str">
        <f t="shared" si="2"/>
        <v/>
      </c>
      <c r="K37" s="19" t="str">
        <f>IF(AND(C4=2,C3&gt;0,C2&gt;12),IF(J9&gt;6,VALUE(E7&amp;F7&amp;H8+13&amp;"/"&amp;J9-6&amp;"/"&amp;20),VALUE(E7&amp;F7&amp;H8+12&amp;"/"&amp;J9+6&amp;"/"&amp;20)),"")</f>
        <v/>
      </c>
      <c r="L37" s="17" t="str">
        <f>IF(AND(C4=2,C3&gt;0,C2&gt;12),C8*1000,"")</f>
        <v/>
      </c>
      <c r="M37" s="18" t="str">
        <f t="shared" si="4"/>
        <v/>
      </c>
    </row>
    <row r="38" spans="1:13" x14ac:dyDescent="0.15">
      <c r="A38">
        <v>7</v>
      </c>
      <c r="B38" s="8" t="str">
        <f>IF(AND(C2&gt;=7,C4=1,C3&gt;0),(VALUE(E7&amp;F7&amp;G7&amp;H7)+7)&amp;"/"&amp;J9&amp;"/"&amp;"20","")</f>
        <v/>
      </c>
      <c r="C38" s="12" t="str">
        <f>IF(C4=1,IF(C3=6,C7*1000,IF(AND(C2&gt;=7,C3&lt;=5,NOT(C3=0)),C8*1000,IF(C3&gt;6,"据置⑦",""))),"")</f>
        <v/>
      </c>
      <c r="D38" s="9" t="str">
        <f>IFERROR(IF(C38="据置⑦",D37,D37-C38),"")</f>
        <v/>
      </c>
      <c r="F38">
        <v>13</v>
      </c>
      <c r="G38" s="19" t="str">
        <f>IF(AND(C4=2,C3=0,C2&gt;=13),(VALUE(E7&amp;F7&amp;G7&amp;H7)+13)&amp;"/"&amp;J9&amp;"/"&amp;"20","")</f>
        <v/>
      </c>
      <c r="H38" s="17" t="str">
        <f>IF(AND(C4=2,C3=0,C2&gt;=13),C8*1000,"")</f>
        <v/>
      </c>
      <c r="I38" s="18" t="str">
        <f t="shared" si="2"/>
        <v/>
      </c>
      <c r="J38">
        <v>13</v>
      </c>
      <c r="K38" s="19" t="str">
        <f>IF(AND(C4=2,C3&gt;0,C2&gt;=13),IF(AND(C4=2,C3&gt;0),(VALUE(E7&amp;F7&amp;G7&amp;H7)+13)&amp;"/"&amp;J9&amp;"/"&amp;"20",""),"")</f>
        <v/>
      </c>
      <c r="L38" s="17" t="str">
        <f>IF(AND(C4=2,C3&gt;0,C2&gt;=13),C8*1000,"")</f>
        <v/>
      </c>
      <c r="M38" s="18" t="str">
        <f t="shared" si="4"/>
        <v/>
      </c>
    </row>
    <row r="39" spans="1:13" x14ac:dyDescent="0.15">
      <c r="A39">
        <v>8</v>
      </c>
      <c r="B39" s="8" t="str">
        <f>IF(AND(C2&gt;=8,C4=1,C3&gt;0),(VALUE(E7&amp;F7&amp;G7&amp;H7)+8)&amp;"/"&amp;J9&amp;"/"&amp;"20","")</f>
        <v/>
      </c>
      <c r="C39" s="12" t="str">
        <f>IF(C4=1,IF(C3=7,C7*1000,IF(AND(C2&gt;=8,C3&lt;=6,NOT(C3=0)),C8*1000,"")),"")</f>
        <v/>
      </c>
      <c r="D39" s="9" t="str">
        <f t="shared" ref="D39:D46" si="5">IFERROR(D38-C39,"")</f>
        <v/>
      </c>
      <c r="G39" s="19" t="str">
        <f>IF(AND(C4=2,C3=0,C2&gt;13),IF(J9&gt;6,VALUE(E7&amp;F7&amp;H8+14&amp;"/"&amp;J9-6&amp;"/"&amp;20),VALUE(E7&amp;F7&amp;H8+13&amp;"/"&amp;J9+6&amp;"/"&amp;20)),"")</f>
        <v/>
      </c>
      <c r="H39" s="17" t="str">
        <f>IF(AND(C4=2,C3=0,C2&gt;13),C8*1000,"")</f>
        <v/>
      </c>
      <c r="I39" s="18" t="str">
        <f t="shared" si="2"/>
        <v/>
      </c>
      <c r="K39" s="19" t="str">
        <f>IF(AND(C4=2,C3&gt;0,C2&gt;13),IF(J9&gt;6,VALUE(E7&amp;F7&amp;H8+14&amp;"/"&amp;J9-6&amp;"/"&amp;20),VALUE(E7&amp;F7&amp;H8+13&amp;"/"&amp;J9+6&amp;"/"&amp;20)),"")</f>
        <v/>
      </c>
      <c r="L39" s="17" t="str">
        <f>IF(AND(C4=2,C3&gt;0,C2&gt;13),C8*1000,"")</f>
        <v/>
      </c>
      <c r="M39" s="18" t="str">
        <f t="shared" si="4"/>
        <v/>
      </c>
    </row>
    <row r="40" spans="1:13" x14ac:dyDescent="0.15">
      <c r="A40">
        <v>9</v>
      </c>
      <c r="B40" s="8" t="str">
        <f>IF(AND(C2&gt;=9,C4=1,C3&gt;0),(VALUE(E7&amp;F7&amp;G7&amp;H7)+9)&amp;"/"&amp;J9&amp;"/"&amp;"20","")</f>
        <v/>
      </c>
      <c r="C40" s="12" t="str">
        <f>IF(C4=1,IF(AND(C2&gt;=9,NOT(C3=0)),C8*1000,""),"")</f>
        <v/>
      </c>
      <c r="D40" s="9" t="str">
        <f t="shared" si="5"/>
        <v/>
      </c>
      <c r="F40">
        <v>14</v>
      </c>
      <c r="G40" s="19" t="str">
        <f>IF(AND(C4=2,C3=0,C2&gt;=14),(VALUE(E7&amp;F7&amp;G7&amp;H7)+14)&amp;"/"&amp;J9&amp;"/"&amp;"20","")</f>
        <v/>
      </c>
      <c r="H40" s="17" t="str">
        <f>IF(AND(C4=2,C3=0,C2&gt;=14),C8*1000,"")</f>
        <v/>
      </c>
      <c r="I40" s="18" t="str">
        <f t="shared" si="2"/>
        <v/>
      </c>
      <c r="J40">
        <v>14</v>
      </c>
      <c r="K40" s="19" t="str">
        <f>IF(AND(C4=2,C3&gt;0,C2&gt;=14),IF(AND(C4=2,C3&gt;0),(VALUE(E7&amp;F7&amp;G7&amp;H7)+14)&amp;"/"&amp;J9&amp;"/"&amp;"20",""),"")</f>
        <v/>
      </c>
      <c r="L40" s="17" t="str">
        <f>IF(AND(C4=2,C3&gt;0,C2&gt;=14),C8*1000,"")</f>
        <v/>
      </c>
      <c r="M40" s="18" t="str">
        <f t="shared" si="4"/>
        <v/>
      </c>
    </row>
    <row r="41" spans="1:13" x14ac:dyDescent="0.15">
      <c r="A41">
        <v>10</v>
      </c>
      <c r="B41" s="8" t="str">
        <f>IF(AND(C2&gt;=10,C4=1,C3&gt;0),(VALUE(E7&amp;F7&amp;G7&amp;H7)+10)&amp;"/"&amp;J9&amp;"/"&amp;"20","")</f>
        <v/>
      </c>
      <c r="C41" s="12" t="str">
        <f>IF(C4=1,IF(AND(C2&gt;=10,NOT(C3=0)),C8*1000,""),"")</f>
        <v/>
      </c>
      <c r="D41" s="9" t="str">
        <f t="shared" si="5"/>
        <v/>
      </c>
      <c r="G41" s="19" t="str">
        <f>IF(AND(C4=2,C3=0,C2&gt;14),IF(J9&gt;6,VALUE(E7&amp;F7&amp;H8+15&amp;"/"&amp;J9-6&amp;"/"&amp;20),VALUE(E7&amp;F7&amp;H8+14&amp;"/"&amp;J9+6&amp;"/"&amp;20)),"")</f>
        <v/>
      </c>
      <c r="H41" s="17" t="str">
        <f>IF(AND(C4=2,C3=0,C2&gt;14),C8*1000,"")</f>
        <v/>
      </c>
      <c r="I41" s="18" t="str">
        <f t="shared" si="2"/>
        <v/>
      </c>
      <c r="K41" s="19" t="str">
        <f>IF(AND(C4=2,C3&gt;0,C2&gt;14),IF(J9&gt;6,VALUE(E7&amp;F7&amp;H8+15&amp;"/"&amp;J9-6&amp;"/"&amp;20),VALUE(E7&amp;F7&amp;H8+14&amp;"/"&amp;J9+6&amp;"/"&amp;20)),"")</f>
        <v/>
      </c>
      <c r="L41" s="17" t="str">
        <f>IF(AND(C4=2,C3&gt;0,C2&gt;14),C8*1000,"")</f>
        <v/>
      </c>
      <c r="M41" s="18" t="str">
        <f t="shared" si="4"/>
        <v/>
      </c>
    </row>
    <row r="42" spans="1:13" x14ac:dyDescent="0.15">
      <c r="A42">
        <v>11</v>
      </c>
      <c r="B42" s="8" t="str">
        <f>IF(AND(C2&gt;=11,C4=1,C3&gt;0),(VALUE(E7&amp;F7&amp;G7&amp;H7)+11)&amp;"/"&amp;J9&amp;"/"&amp;"20","")</f>
        <v/>
      </c>
      <c r="C42" s="12" t="str">
        <f>IF(C4=1,IF(AND(C2&gt;=11,NOT(C3=0)),C8*1000,""),"")</f>
        <v/>
      </c>
      <c r="D42" s="9" t="str">
        <f t="shared" si="5"/>
        <v/>
      </c>
      <c r="F42">
        <v>15</v>
      </c>
      <c r="G42" s="19" t="str">
        <f>IF(AND(C4=2,C3=0,C2=15),(VALUE(E7&amp;F7&amp;G7&amp;H7)+15)&amp;"/"&amp;J9&amp;"/"&amp;"20","")</f>
        <v/>
      </c>
      <c r="H42" s="17" t="str">
        <f>IF(AND(C4=2,C3=0,C2=15),C8*1000,"")</f>
        <v/>
      </c>
      <c r="I42" s="18" t="str">
        <f t="shared" si="2"/>
        <v/>
      </c>
      <c r="J42">
        <v>15</v>
      </c>
      <c r="K42" s="19" t="str">
        <f>IF(AND(C4=2,C3&gt;0,C2=15),IF(AND(C4=2,C3&gt;0),(VALUE(E7&amp;F7&amp;G7&amp;H7)+15)&amp;"/"&amp;J9&amp;"/"&amp;"20",""),"")</f>
        <v/>
      </c>
      <c r="L42" s="17" t="str">
        <f>IF(AND(C4=2,C3&gt;0,C2=15),C8*1000,"")</f>
        <v/>
      </c>
      <c r="M42" s="18" t="str">
        <f t="shared" si="4"/>
        <v/>
      </c>
    </row>
    <row r="43" spans="1:13" x14ac:dyDescent="0.15">
      <c r="A43">
        <v>12</v>
      </c>
      <c r="B43" s="8" t="str">
        <f>IF(AND(C2&gt;=12,C4=1,C3&gt;0),(VALUE(E7&amp;F7&amp;G7&amp;H7)+12)&amp;"/"&amp;J9&amp;"/"&amp;"20","")</f>
        <v/>
      </c>
      <c r="C43" s="12" t="str">
        <f>IF(C4=1,IF(AND(C2&gt;=12,NOT(C3=0)),C8*1000,""),"")</f>
        <v/>
      </c>
      <c r="D43" s="9" t="str">
        <f t="shared" si="5"/>
        <v/>
      </c>
      <c r="G43" s="6"/>
      <c r="L43" s="5"/>
    </row>
    <row r="44" spans="1:13" x14ac:dyDescent="0.15">
      <c r="A44">
        <v>13</v>
      </c>
      <c r="B44" s="8" t="str">
        <f>IF(AND(C2&gt;=13,C4=1,C3&gt;0),(VALUE(E7&amp;F7&amp;G7&amp;H7)+13)&amp;"/"&amp;J9&amp;"/"&amp;"20","")</f>
        <v/>
      </c>
      <c r="C44" s="12" t="str">
        <f>IF(C4=1,IF(AND(C2&gt;=13,NOT(C3=0)),C8*1000,""),"")</f>
        <v/>
      </c>
      <c r="D44" s="9" t="str">
        <f t="shared" si="5"/>
        <v/>
      </c>
      <c r="G44" s="5"/>
      <c r="L44" s="5"/>
    </row>
    <row r="45" spans="1:13" x14ac:dyDescent="0.15">
      <c r="A45">
        <v>14</v>
      </c>
      <c r="B45" s="8" t="str">
        <f>IF(AND(C2&gt;=14,C4=1,C3&gt;0),(VALUE(E7&amp;F7&amp;G7&amp;H7)+14)&amp;"/"&amp;J9&amp;"/"&amp;"20","")</f>
        <v/>
      </c>
      <c r="C45" s="12" t="str">
        <f>IF(C4=1,IF(AND(C2&gt;=14,NOT(C3=0)),C8*1000,""),"")</f>
        <v/>
      </c>
      <c r="D45" s="9" t="str">
        <f t="shared" si="5"/>
        <v/>
      </c>
      <c r="G45" s="5"/>
      <c r="L45" s="5"/>
    </row>
    <row r="46" spans="1:13" x14ac:dyDescent="0.15">
      <c r="A46">
        <v>15</v>
      </c>
      <c r="B46" s="8" t="str">
        <f>IF(AND(C2=15,C4=1,C3&gt;0),(VALUE(E7&amp;F7&amp;G7&amp;H7)+15)&amp;"/"&amp;J9&amp;"/"&amp;"20","")</f>
        <v/>
      </c>
      <c r="C46" s="12" t="str">
        <f>IF(C4=1,IF(AND(C2&gt;=15,NOT(C3=0)),C8*1000,""),"")</f>
        <v/>
      </c>
      <c r="D46" s="9" t="str">
        <f t="shared" si="5"/>
        <v/>
      </c>
      <c r="G46" s="5"/>
      <c r="L46" s="5"/>
    </row>
    <row r="47" spans="1:13" x14ac:dyDescent="0.15">
      <c r="B47" s="2"/>
      <c r="G47" s="5"/>
      <c r="L47" s="5"/>
    </row>
    <row r="48" spans="1:13" x14ac:dyDescent="0.15">
      <c r="B48" s="2"/>
      <c r="G48" s="5"/>
      <c r="L48" s="5"/>
    </row>
    <row r="49" spans="1:7" x14ac:dyDescent="0.15">
      <c r="B49" s="2"/>
      <c r="G49" s="5"/>
    </row>
    <row r="50" spans="1:7" x14ac:dyDescent="0.15">
      <c r="A50" t="s">
        <v>695</v>
      </c>
      <c r="B50" s="2"/>
      <c r="G50" s="5"/>
    </row>
    <row r="51" spans="1:7" x14ac:dyDescent="0.15">
      <c r="B51" s="2"/>
      <c r="G51" s="5"/>
    </row>
    <row r="52" spans="1:7" x14ac:dyDescent="0.15">
      <c r="B52" s="2"/>
      <c r="G52" s="5"/>
    </row>
    <row r="53" spans="1:7" x14ac:dyDescent="0.15">
      <c r="B53" s="2"/>
      <c r="G53" s="5"/>
    </row>
    <row r="54" spans="1:7" x14ac:dyDescent="0.15">
      <c r="B54" s="2"/>
      <c r="G54" s="5"/>
    </row>
    <row r="55" spans="1:7" x14ac:dyDescent="0.15">
      <c r="B55" s="2"/>
      <c r="G55" s="5"/>
    </row>
    <row r="56" spans="1:7" x14ac:dyDescent="0.15">
      <c r="B56" s="2"/>
      <c r="G56" s="5"/>
    </row>
    <row r="57" spans="1:7" x14ac:dyDescent="0.15">
      <c r="B57" s="2"/>
      <c r="G57" s="5"/>
    </row>
    <row r="58" spans="1:7" x14ac:dyDescent="0.15">
      <c r="B58" s="2"/>
      <c r="G58" s="5"/>
    </row>
    <row r="59" spans="1:7" x14ac:dyDescent="0.15">
      <c r="B59" s="2"/>
      <c r="G59" s="5"/>
    </row>
    <row r="60" spans="1:7" x14ac:dyDescent="0.15">
      <c r="B60" s="2"/>
      <c r="G60" s="5"/>
    </row>
    <row r="61" spans="1:7" x14ac:dyDescent="0.15">
      <c r="B61" s="2"/>
      <c r="G61" s="5"/>
    </row>
    <row r="62" spans="1:7" x14ac:dyDescent="0.15">
      <c r="B62" s="2"/>
      <c r="G62" s="5"/>
    </row>
    <row r="63" spans="1:7" x14ac:dyDescent="0.15">
      <c r="B63" s="2"/>
      <c r="G63" s="5"/>
    </row>
    <row r="64" spans="1:7" x14ac:dyDescent="0.15">
      <c r="B64" s="2"/>
      <c r="G64" s="5"/>
    </row>
    <row r="65" spans="2:7" x14ac:dyDescent="0.15">
      <c r="B65" s="2"/>
      <c r="G65" s="5"/>
    </row>
    <row r="66" spans="2:7" x14ac:dyDescent="0.15">
      <c r="B66" s="2"/>
      <c r="G66" s="5"/>
    </row>
    <row r="67" spans="2:7" x14ac:dyDescent="0.15">
      <c r="B67" s="2"/>
      <c r="G67" s="5"/>
    </row>
    <row r="68" spans="2:7" x14ac:dyDescent="0.15">
      <c r="B68" s="2"/>
      <c r="G68" s="5"/>
    </row>
    <row r="69" spans="2:7" x14ac:dyDescent="0.15">
      <c r="B69" s="2"/>
    </row>
    <row r="70" spans="2:7" x14ac:dyDescent="0.15">
      <c r="B70" s="2"/>
    </row>
    <row r="71" spans="2:7" x14ac:dyDescent="0.15">
      <c r="B71" s="2"/>
    </row>
    <row r="72" spans="2:7" x14ac:dyDescent="0.15">
      <c r="B72" s="2"/>
    </row>
    <row r="73" spans="2:7" x14ac:dyDescent="0.15">
      <c r="B73" s="2"/>
    </row>
    <row r="74" spans="2:7" x14ac:dyDescent="0.15">
      <c r="B74" s="2"/>
    </row>
    <row r="75" spans="2:7" x14ac:dyDescent="0.15">
      <c r="B75" s="2"/>
    </row>
    <row r="76" spans="2:7" x14ac:dyDescent="0.15">
      <c r="B76" s="2"/>
    </row>
    <row r="77" spans="2:7" x14ac:dyDescent="0.15">
      <c r="B77" s="2"/>
    </row>
    <row r="78" spans="2:7" x14ac:dyDescent="0.15">
      <c r="B78" s="2"/>
    </row>
    <row r="79" spans="2:7" x14ac:dyDescent="0.15">
      <c r="B79" s="2"/>
    </row>
    <row r="80" spans="2:7" x14ac:dyDescent="0.15">
      <c r="B80" s="2"/>
    </row>
    <row r="81" spans="2:2" x14ac:dyDescent="0.15">
      <c r="B81" s="2"/>
    </row>
    <row r="82" spans="2:2" x14ac:dyDescent="0.15">
      <c r="B82" s="2"/>
    </row>
    <row r="83" spans="2:2" x14ac:dyDescent="0.15">
      <c r="B83" s="2"/>
    </row>
    <row r="84" spans="2:2" x14ac:dyDescent="0.15">
      <c r="B84" s="2"/>
    </row>
    <row r="85" spans="2:2" x14ac:dyDescent="0.15">
      <c r="B85" s="2"/>
    </row>
    <row r="86" spans="2:2" x14ac:dyDescent="0.15">
      <c r="B86" s="2"/>
    </row>
    <row r="87" spans="2:2" x14ac:dyDescent="0.15">
      <c r="B87" s="2"/>
    </row>
    <row r="88" spans="2:2" x14ac:dyDescent="0.15">
      <c r="B88" s="2"/>
    </row>
    <row r="89" spans="2:2" x14ac:dyDescent="0.15">
      <c r="B89" s="2"/>
    </row>
    <row r="90" spans="2:2" x14ac:dyDescent="0.15">
      <c r="B90" s="2"/>
    </row>
    <row r="91" spans="2:2" x14ac:dyDescent="0.15">
      <c r="B91" s="2"/>
    </row>
    <row r="92" spans="2:2" x14ac:dyDescent="0.15">
      <c r="B92" s="2"/>
    </row>
    <row r="93" spans="2:2" x14ac:dyDescent="0.15">
      <c r="B93" s="2"/>
    </row>
    <row r="94" spans="2:2" x14ac:dyDescent="0.15">
      <c r="B94" s="2"/>
    </row>
    <row r="95" spans="2:2" x14ac:dyDescent="0.15">
      <c r="B95" s="2"/>
    </row>
    <row r="96" spans="2:2" x14ac:dyDescent="0.15">
      <c r="B96" s="2"/>
    </row>
    <row r="97" spans="2:2" x14ac:dyDescent="0.15">
      <c r="B97" s="2"/>
    </row>
    <row r="98" spans="2:2" x14ac:dyDescent="0.15">
      <c r="B98" s="2"/>
    </row>
    <row r="99" spans="2:2" x14ac:dyDescent="0.15">
      <c r="B99" s="2"/>
    </row>
    <row r="100" spans="2:2" x14ac:dyDescent="0.15">
      <c r="B100" s="2"/>
    </row>
    <row r="101" spans="2:2" x14ac:dyDescent="0.15">
      <c r="B101" s="2"/>
    </row>
    <row r="102" spans="2:2" x14ac:dyDescent="0.15">
      <c r="B102" s="2"/>
    </row>
    <row r="103" spans="2:2" x14ac:dyDescent="0.15">
      <c r="B103" s="2"/>
    </row>
    <row r="104" spans="2:2" x14ac:dyDescent="0.15">
      <c r="B104" s="2"/>
    </row>
    <row r="105" spans="2:2" x14ac:dyDescent="0.15">
      <c r="B105" s="2"/>
    </row>
    <row r="106" spans="2:2" x14ac:dyDescent="0.15">
      <c r="B106" s="2"/>
    </row>
    <row r="107" spans="2:2" x14ac:dyDescent="0.15">
      <c r="B107" s="2"/>
    </row>
    <row r="108" spans="2:2" x14ac:dyDescent="0.15">
      <c r="B108" s="2"/>
    </row>
    <row r="109" spans="2:2" x14ac:dyDescent="0.15">
      <c r="B109" s="2"/>
    </row>
    <row r="110" spans="2:2" x14ac:dyDescent="0.15">
      <c r="B110" s="2"/>
    </row>
    <row r="111" spans="2:2" x14ac:dyDescent="0.15">
      <c r="B111" s="2"/>
    </row>
    <row r="112" spans="2:2" x14ac:dyDescent="0.15">
      <c r="B112" s="2"/>
    </row>
    <row r="113" spans="2:2" x14ac:dyDescent="0.15">
      <c r="B113" s="2"/>
    </row>
    <row r="114" spans="2:2" x14ac:dyDescent="0.15">
      <c r="B114" s="2"/>
    </row>
    <row r="115" spans="2:2" x14ac:dyDescent="0.15">
      <c r="B115" s="2"/>
    </row>
    <row r="116" spans="2:2" x14ac:dyDescent="0.15">
      <c r="B116" s="2"/>
    </row>
    <row r="117" spans="2:2" x14ac:dyDescent="0.15">
      <c r="B117" s="2"/>
    </row>
    <row r="118" spans="2:2" x14ac:dyDescent="0.15">
      <c r="B118" s="2"/>
    </row>
    <row r="119" spans="2:2" x14ac:dyDescent="0.15">
      <c r="B119" s="2"/>
    </row>
    <row r="120" spans="2:2" x14ac:dyDescent="0.15">
      <c r="B120" s="2"/>
    </row>
    <row r="121" spans="2:2" x14ac:dyDescent="0.15">
      <c r="B121" s="2"/>
    </row>
    <row r="122" spans="2:2" x14ac:dyDescent="0.15">
      <c r="B122" s="2"/>
    </row>
    <row r="123" spans="2:2" x14ac:dyDescent="0.15">
      <c r="B123" s="2"/>
    </row>
    <row r="124" spans="2:2" x14ac:dyDescent="0.15">
      <c r="B124" s="2"/>
    </row>
    <row r="125" spans="2:2" x14ac:dyDescent="0.15">
      <c r="B125" s="2"/>
    </row>
    <row r="126" spans="2:2" x14ac:dyDescent="0.15">
      <c r="B126" s="2"/>
    </row>
    <row r="127" spans="2:2" x14ac:dyDescent="0.15">
      <c r="B127" s="2"/>
    </row>
    <row r="128" spans="2:2" x14ac:dyDescent="0.15">
      <c r="B128" s="2"/>
    </row>
    <row r="129" spans="2:2" x14ac:dyDescent="0.15">
      <c r="B129" s="2"/>
    </row>
    <row r="130" spans="2:2" x14ac:dyDescent="0.15">
      <c r="B130" s="2"/>
    </row>
  </sheetData>
  <sheetProtection sheet="1"/>
  <mergeCells count="2">
    <mergeCell ref="G1:I2"/>
    <mergeCell ref="A11:A12"/>
  </mergeCells>
  <phoneticPr fontId="2"/>
  <pageMargins left="0.43307086614173229" right="0.23622047244094491" top="0.55118110236220474" bottom="0.55118110236220474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N130"/>
  <sheetViews>
    <sheetView workbookViewId="0">
      <selection activeCell="H13" sqref="H13"/>
    </sheetView>
  </sheetViews>
  <sheetFormatPr defaultRowHeight="13.5" x14ac:dyDescent="0.15"/>
  <cols>
    <col min="1" max="1" width="3.5" bestFit="1" customWidth="1"/>
    <col min="2" max="2" width="14.625" style="1" customWidth="1"/>
    <col min="3" max="3" width="12.625" style="1" customWidth="1"/>
    <col min="4" max="4" width="13.625" style="1" customWidth="1"/>
    <col min="5" max="6" width="5.875" customWidth="1"/>
    <col min="7" max="7" width="14.625" customWidth="1"/>
    <col min="8" max="8" width="12.625" customWidth="1"/>
    <col min="9" max="9" width="13.625" customWidth="1"/>
    <col min="11" max="11" width="14.625" customWidth="1"/>
    <col min="12" max="12" width="12.625" customWidth="1"/>
    <col min="13" max="13" width="13.625" customWidth="1"/>
  </cols>
  <sheetData>
    <row r="1" spans="1:14" ht="11.25" customHeight="1" x14ac:dyDescent="0.15">
      <c r="B1" s="24" t="s">
        <v>557</v>
      </c>
      <c r="C1" s="21">
        <f>【入力ｼｰﾄ】支援課提出用!BE33</f>
        <v>0</v>
      </c>
      <c r="D1" s="22" t="s">
        <v>33</v>
      </c>
      <c r="G1" s="544">
        <f>【入力ｼｰﾄ】支援課提出用!E33</f>
        <v>0</v>
      </c>
      <c r="H1" s="545"/>
      <c r="I1" s="546"/>
    </row>
    <row r="2" spans="1:14" ht="11.25" customHeight="1" thickBot="1" x14ac:dyDescent="0.2">
      <c r="B2" s="28" t="s">
        <v>558</v>
      </c>
      <c r="C2" s="23">
        <f>【入力ｼｰﾄ】支援課提出用!BW33</f>
        <v>0</v>
      </c>
      <c r="D2" s="22" t="s">
        <v>21</v>
      </c>
      <c r="G2" s="547"/>
      <c r="H2" s="548"/>
      <c r="I2" s="549"/>
    </row>
    <row r="3" spans="1:14" ht="11.25" customHeight="1" x14ac:dyDescent="0.15">
      <c r="B3" s="28" t="s">
        <v>559</v>
      </c>
      <c r="C3" s="25">
        <f>【入力ｼｰﾄ】支援課提出用!BY33</f>
        <v>0</v>
      </c>
      <c r="D3" s="26" t="s">
        <v>21</v>
      </c>
    </row>
    <row r="4" spans="1:14" ht="11.25" customHeight="1" x14ac:dyDescent="0.15">
      <c r="B4" s="28" t="s">
        <v>560</v>
      </c>
      <c r="C4" s="29">
        <f>VALUE(IF(【入力ｼｰﾄ】支援課提出用!CA33="１  年賦","1",IF(【入力ｼｰﾄ】支援課提出用!CA33="２  半年賦","2","0")))</f>
        <v>0</v>
      </c>
      <c r="D4" s="22"/>
    </row>
    <row r="5" spans="1:14" ht="11.25" customHeight="1" x14ac:dyDescent="0.15">
      <c r="B5" s="28" t="s">
        <v>561</v>
      </c>
      <c r="C5" s="25">
        <f>(C2-C3)*C4</f>
        <v>0</v>
      </c>
      <c r="D5" s="26" t="s">
        <v>562</v>
      </c>
    </row>
    <row r="6" spans="1:14" ht="11.25" customHeight="1" x14ac:dyDescent="0.15">
      <c r="B6" s="28" t="s">
        <v>563</v>
      </c>
      <c r="C6" s="13" t="str">
        <f>N6</f>
        <v>0000/00/00</v>
      </c>
      <c r="D6" s="22"/>
      <c r="E6" s="44">
        <f>【入力ｼｰﾄ】支援課提出用!AQ33</f>
        <v>0</v>
      </c>
      <c r="F6" s="44">
        <f>【入力ｼｰﾄ】支援課提出用!AR33</f>
        <v>0</v>
      </c>
      <c r="G6" s="44">
        <f>【入力ｼｰﾄ】支援課提出用!AS33</f>
        <v>0</v>
      </c>
      <c r="H6" s="44">
        <f>【入力ｼｰﾄ】支援課提出用!AT33</f>
        <v>0</v>
      </c>
      <c r="I6" s="44">
        <f>【入力ｼｰﾄ】支援課提出用!AU33</f>
        <v>0</v>
      </c>
      <c r="J6" s="44">
        <f>【入力ｼｰﾄ】支援課提出用!AV33</f>
        <v>0</v>
      </c>
      <c r="K6" s="44">
        <f>【入力ｼｰﾄ】支援課提出用!AW33</f>
        <v>0</v>
      </c>
      <c r="L6" s="44">
        <f>【入力ｼｰﾄ】支援課提出用!AX33</f>
        <v>0</v>
      </c>
      <c r="M6" s="44"/>
      <c r="N6" s="45" t="str">
        <f>VALUE(E6)&amp;VALUE(F6)&amp;VALUE(G6)&amp;VALUE(H6)&amp;"/"&amp;VALUE(I6)&amp;VALUE(J6)&amp;"/"&amp;VALUE(K6)&amp;VALUE(L6)</f>
        <v>0000/00/00</v>
      </c>
    </row>
    <row r="7" spans="1:14" ht="11.25" customHeight="1" x14ac:dyDescent="0.15">
      <c r="B7" s="28" t="s">
        <v>564</v>
      </c>
      <c r="C7" s="27" t="e">
        <f>C1-C8*((C2-C3)*C4-1)</f>
        <v>#DIV/0!</v>
      </c>
      <c r="D7" s="26" t="s">
        <v>33</v>
      </c>
      <c r="E7" s="44">
        <f>VALUE(E6)</f>
        <v>0</v>
      </c>
      <c r="F7" s="44">
        <f t="shared" ref="F7:L7" si="0">VALUE(F6)</f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/>
      <c r="N7" s="44"/>
    </row>
    <row r="8" spans="1:14" ht="11.25" customHeight="1" x14ac:dyDescent="0.15">
      <c r="B8" s="28" t="s">
        <v>565</v>
      </c>
      <c r="C8" s="30" t="e">
        <f>ROUNDDOWN((C1/((C2-C3)*C4)),0)</f>
        <v>#DIV/0!</v>
      </c>
      <c r="D8" s="22" t="s">
        <v>33</v>
      </c>
      <c r="E8" s="44"/>
      <c r="F8" s="44"/>
      <c r="G8" s="44"/>
      <c r="H8" s="44">
        <f>VALUE(G7&amp;H7)</f>
        <v>0</v>
      </c>
      <c r="I8" s="44"/>
      <c r="J8" s="44">
        <f>VALUE(I7&amp;J7)</f>
        <v>0</v>
      </c>
      <c r="K8" s="44">
        <f>MOD(J8,2)</f>
        <v>0</v>
      </c>
      <c r="L8" s="44">
        <f>VALUE(K7&amp;L7)</f>
        <v>0</v>
      </c>
      <c r="M8" s="44"/>
      <c r="N8" s="44"/>
    </row>
    <row r="9" spans="1:14" x14ac:dyDescent="0.15">
      <c r="E9" s="44"/>
      <c r="F9" s="44"/>
      <c r="G9" s="44"/>
      <c r="H9" s="44"/>
      <c r="I9" s="44"/>
      <c r="J9" s="44">
        <f>IF(AND(K8=1,L8&gt;=21,L8&lt;31),J8,IF(K8=0,J8-1,IF(AND(J8=1,L8&gt;=1,L8&lt;15),11,IF(AND(K8=1,L8&gt;=1,L8&lt;15),J8-2,""))))</f>
        <v>-1</v>
      </c>
      <c r="K9" s="44"/>
      <c r="L9" s="44"/>
      <c r="M9" s="44"/>
      <c r="N9" s="44"/>
    </row>
    <row r="10" spans="1:14" x14ac:dyDescent="0.15">
      <c r="B10" s="40" t="s">
        <v>684</v>
      </c>
      <c r="C10" s="36" t="s">
        <v>686</v>
      </c>
      <c r="D10" s="37"/>
      <c r="G10" s="42" t="s">
        <v>687</v>
      </c>
      <c r="H10" s="38" t="s">
        <v>686</v>
      </c>
      <c r="I10" s="39"/>
      <c r="K10" s="42" t="s">
        <v>687</v>
      </c>
      <c r="L10" s="34" t="s">
        <v>685</v>
      </c>
      <c r="M10" s="35"/>
    </row>
    <row r="11" spans="1:14" x14ac:dyDescent="0.15">
      <c r="A11" s="550" t="s">
        <v>689</v>
      </c>
      <c r="B11" s="31" t="s">
        <v>566</v>
      </c>
      <c r="C11" s="31" t="s">
        <v>688</v>
      </c>
      <c r="D11" s="31" t="s">
        <v>567</v>
      </c>
      <c r="G11" s="31" t="s">
        <v>566</v>
      </c>
      <c r="H11" s="31" t="s">
        <v>688</v>
      </c>
      <c r="I11" s="31" t="s">
        <v>567</v>
      </c>
      <c r="K11" s="31" t="s">
        <v>566</v>
      </c>
      <c r="L11" s="31" t="s">
        <v>688</v>
      </c>
      <c r="M11" s="31" t="s">
        <v>567</v>
      </c>
    </row>
    <row r="12" spans="1:14" x14ac:dyDescent="0.15">
      <c r="A12" s="550"/>
      <c r="B12" s="8" t="str">
        <f>IF(AND(C4=1,C3=0),C6,"")</f>
        <v/>
      </c>
      <c r="C12" s="7" t="str">
        <f>IF(AND(C4=1,C3=0),"貸付実行日","")</f>
        <v/>
      </c>
      <c r="D12" s="9" t="str">
        <f>IF(AND(C4=1,C3=0),C1*1000,"")</f>
        <v/>
      </c>
      <c r="G12" s="8" t="str">
        <f>IF(AND(C4=2,C3=0),C6,"")</f>
        <v/>
      </c>
      <c r="H12" s="14" t="str">
        <f>IF(AND(C4=2,C3=0),"貸付実行日","")</f>
        <v/>
      </c>
      <c r="I12" s="15" t="str">
        <f>IF(AND(C4=2,C3=0),C1*1000,"")</f>
        <v/>
      </c>
      <c r="K12" s="19" t="str">
        <f>IF(AND(C4=2,C3&gt;0),C6,"")</f>
        <v/>
      </c>
      <c r="L12" s="14" t="str">
        <f>IF(AND(C4=2,C3&gt;0),"貸付実行日","")</f>
        <v/>
      </c>
      <c r="M12" s="15" t="str">
        <f>IF(AND(C4=2,C3&gt;0),C1*1000,"")</f>
        <v/>
      </c>
    </row>
    <row r="13" spans="1:14" x14ac:dyDescent="0.15">
      <c r="A13">
        <v>1</v>
      </c>
      <c r="B13" s="8" t="str">
        <f>IF(AND(C4=1,C3=0),(VALUE(E7&amp;F7&amp;G7&amp;H7)+1)&amp;"/"&amp;J9&amp;"/"&amp;"20","")</f>
        <v/>
      </c>
      <c r="C13" s="9" t="str">
        <f>IF(AND(C4=1,C3=0),C7*1000,"")</f>
        <v/>
      </c>
      <c r="D13" s="9" t="str">
        <f>IFERROR(D12-C13,"")</f>
        <v/>
      </c>
      <c r="G13" s="16" t="str">
        <f>IF(AND(C4=2,C3=0),IF(J9&gt;6,VALUE(E7&amp;F7&amp;H8+1&amp;"/"&amp;J9-6&amp;"/"&amp;20),VALUE(E7&amp;F7&amp;H8&amp;"/"&amp;J9+6&amp;"/"&amp;20)),"")</f>
        <v/>
      </c>
      <c r="H13" s="17" t="str">
        <f>IF(AND(C4=2,C3=0),C7*1000,"")</f>
        <v/>
      </c>
      <c r="I13" s="18" t="str">
        <f>IFERROR(I12-H13,"")</f>
        <v/>
      </c>
      <c r="K13" s="19" t="str">
        <f>IF(AND(C4=2,C3&gt;0),IF(J9&gt;6,VALUE(E7&amp;F7&amp;H8+1&amp;"/"&amp;J9-6&amp;"/"&amp;20),VALUE(E7&amp;F7&amp;H8&amp;"/"&amp;J9+6&amp;"/"&amp;20)),"")</f>
        <v/>
      </c>
      <c r="L13" s="14" t="str">
        <f>IF(AND(C4=2,C3&gt;0),"据置①","")</f>
        <v/>
      </c>
      <c r="M13" s="18" t="str">
        <f>M12</f>
        <v/>
      </c>
    </row>
    <row r="14" spans="1:14" x14ac:dyDescent="0.15">
      <c r="A14">
        <v>2</v>
      </c>
      <c r="B14" s="8" t="str">
        <f>IF(AND(C4=1,C3=0),(VALUE(E7&amp;F7&amp;G7&amp;H7)+2)&amp;"/"&amp;J9&amp;"/"&amp;"20","")</f>
        <v/>
      </c>
      <c r="C14" s="10" t="str">
        <f>IF(AND(C4=1,C3=0),C8*1000,"")</f>
        <v/>
      </c>
      <c r="D14" s="9" t="str">
        <f t="shared" ref="D14:D27" si="1">IFERROR(IF(D13&gt;0,D13-C14,""),"")</f>
        <v/>
      </c>
      <c r="F14">
        <v>1</v>
      </c>
      <c r="G14" s="14" t="str">
        <f>IF(AND(C4=2,C3=0),(VALUE(E7&amp;F7&amp;G7&amp;H7)+1)&amp;"/"&amp;J9&amp;"/"&amp;"20","")</f>
        <v/>
      </c>
      <c r="H14" s="17" t="str">
        <f>IF(AND(C4=2,C3=0),C8*1000,"")</f>
        <v/>
      </c>
      <c r="I14" s="18" t="str">
        <f t="shared" ref="I14:I42" si="2">IFERROR(IF(I13&gt;0,I13-H14,""),"")</f>
        <v/>
      </c>
      <c r="J14">
        <v>1</v>
      </c>
      <c r="K14" s="19" t="str">
        <f>IF(AND(C4=2,C3&gt;0),IF(AND(C4=2,C3&gt;0),(VALUE(E7&amp;F7&amp;G7&amp;H7)+1)&amp;"/"&amp;J9&amp;"/"&amp;"20",""),"")</f>
        <v/>
      </c>
      <c r="L14" s="14" t="str">
        <f>IF(AND(C4=2,C3&gt;0),"据置①","")</f>
        <v/>
      </c>
      <c r="M14" s="18" t="str">
        <f>M13</f>
        <v/>
      </c>
    </row>
    <row r="15" spans="1:14" x14ac:dyDescent="0.15">
      <c r="A15">
        <v>3</v>
      </c>
      <c r="B15" s="8" t="str">
        <f>IF(AND(C4=1,C3=0,C2&gt;=3),(VALUE(E7&amp;F7&amp;G7&amp;H7)+3)&amp;"/"&amp;J9&amp;"/"&amp;"20","")</f>
        <v/>
      </c>
      <c r="C15" s="10" t="str">
        <f t="shared" ref="C15:C27" si="3">IFERROR(IF(D14&gt;0,C14,""),"")</f>
        <v/>
      </c>
      <c r="D15" s="9" t="str">
        <f t="shared" si="1"/>
        <v/>
      </c>
      <c r="G15" s="19" t="str">
        <f>IF(AND(C4=2,C3=0),IF(J9&gt;6,VALUE(E7&amp;F7&amp;H8+2&amp;"/"&amp;J9-6&amp;"/"&amp;20),VALUE(E7&amp;F7&amp;H8+1&amp;"/"&amp;J9+6&amp;"/"&amp;20)),"")</f>
        <v/>
      </c>
      <c r="H15" s="17" t="str">
        <f>IF(AND(C4=2,C3=0),C8*1000,"")</f>
        <v/>
      </c>
      <c r="I15" s="18" t="str">
        <f t="shared" si="2"/>
        <v/>
      </c>
      <c r="K15" s="19" t="str">
        <f>IF(AND(C4=2,C3&gt;0),IF(J9&gt;6,VALUE(E7&amp;F7&amp;H8+2&amp;"/"&amp;J9-6&amp;"/"&amp;20),VALUE(E7&amp;F7&amp;H8+1&amp;"/"&amp;J9+6&amp;"/"&amp;20)),"")</f>
        <v/>
      </c>
      <c r="L15" s="17" t="str">
        <f>IF(AND(C4=2,C3&gt;0),IF(C3=1,C7*1000,IF(C3&gt;=2,"据置②","")),"")</f>
        <v/>
      </c>
      <c r="M15" s="15" t="str">
        <f>IFERROR(IF(L15="据置②",M14,M14-L15),"")</f>
        <v/>
      </c>
    </row>
    <row r="16" spans="1:14" x14ac:dyDescent="0.15">
      <c r="A16">
        <v>4</v>
      </c>
      <c r="B16" s="8" t="str">
        <f>IF(AND(C4=1,C3=0,C2&gt;=4),(VALUE(E7&amp;F7&amp;G7&amp;H7)+4)&amp;"/"&amp;J9&amp;"/"&amp;"20","")</f>
        <v/>
      </c>
      <c r="C16" s="10" t="str">
        <f t="shared" si="3"/>
        <v/>
      </c>
      <c r="D16" s="9" t="str">
        <f t="shared" si="1"/>
        <v/>
      </c>
      <c r="F16">
        <v>2</v>
      </c>
      <c r="G16" s="14" t="str">
        <f>IF(AND(C4=2,C3=0),(VALUE(E7&amp;F7&amp;G7&amp;H7)+2)&amp;"/"&amp;J9&amp;"/"&amp;"20","")</f>
        <v/>
      </c>
      <c r="H16" s="17" t="str">
        <f>IF(AND(C4=2,C3=0),C8*1000,"")</f>
        <v/>
      </c>
      <c r="I16" s="18" t="str">
        <f t="shared" si="2"/>
        <v/>
      </c>
      <c r="J16">
        <v>2</v>
      </c>
      <c r="K16" s="19" t="str">
        <f>IF(AND(C4=2,C3&gt;0),IF(AND(C4=2,C3&gt;0),(VALUE(E7&amp;F7&amp;G7&amp;H7)+2)&amp;"/"&amp;J9&amp;"/"&amp;"20",""),"")</f>
        <v/>
      </c>
      <c r="L16" s="17" t="str">
        <f>IF(AND(C4=2,C3&gt;0),IF(C3=1,C8*1000,IF(C3&gt;=2,"据置②","")),"")</f>
        <v/>
      </c>
      <c r="M16" s="15" t="str">
        <f>IFERROR(IF(L16="据置②",M15,M15-L16),"")</f>
        <v/>
      </c>
    </row>
    <row r="17" spans="1:13" x14ac:dyDescent="0.15">
      <c r="A17">
        <v>5</v>
      </c>
      <c r="B17" s="8" t="str">
        <f>IF(AND(C4=1,C3=0,C2&gt;=5),(VALUE(E7&amp;F7&amp;G7&amp;H7)+5)&amp;"/"&amp;J9&amp;"/"&amp;"20","")</f>
        <v/>
      </c>
      <c r="C17" s="10" t="str">
        <f t="shared" si="3"/>
        <v/>
      </c>
      <c r="D17" s="9" t="str">
        <f t="shared" si="1"/>
        <v/>
      </c>
      <c r="G17" s="19" t="str">
        <f>IF(AND(C4=2,C3=0),IF(J9&gt;6,VALUE(E7&amp;F7&amp;H8+3&amp;"/"&amp;J9-6&amp;"/"&amp;20),VALUE(E7&amp;F7&amp;H8+2&amp;"/"&amp;J9+6&amp;"/"&amp;20)),"")</f>
        <v/>
      </c>
      <c r="H17" s="17" t="str">
        <f>IF(AND(C4=2,C3=0),C8*1000,"")</f>
        <v/>
      </c>
      <c r="I17" s="18" t="str">
        <f t="shared" si="2"/>
        <v/>
      </c>
      <c r="K17" s="19" t="str">
        <f>IF(AND(C4=2,C3&gt;0),IF(J9&gt;6,VALUE(E7&amp;F7&amp;H8+3&amp;"/"&amp;J9-6&amp;"/"&amp;20),VALUE(E7&amp;F7&amp;H8+2&amp;"/"&amp;J9+6&amp;"/"&amp;20)),"")</f>
        <v/>
      </c>
      <c r="L17" s="17" t="str">
        <f>IF(AND(C4=2,C3&gt;0),IF(C3=2,C7*1000,IF(C3=1,C8*1000,IF(C3&gt;=3,"据置③",""))),"")</f>
        <v/>
      </c>
      <c r="M17" s="15" t="str">
        <f>IFERROR(IF(L17="据置③",M16,M16-L17),"")</f>
        <v/>
      </c>
    </row>
    <row r="18" spans="1:13" x14ac:dyDescent="0.15">
      <c r="A18">
        <v>6</v>
      </c>
      <c r="B18" s="8" t="str">
        <f>IF(AND(C4=1,C3=0,C2&gt;=6),(VALUE(E7&amp;F7&amp;G7&amp;H7)+6)&amp;"/"&amp;J9&amp;"/"&amp;"20","")</f>
        <v/>
      </c>
      <c r="C18" s="10" t="str">
        <f t="shared" si="3"/>
        <v/>
      </c>
      <c r="D18" s="9" t="str">
        <f t="shared" si="1"/>
        <v/>
      </c>
      <c r="F18">
        <v>3</v>
      </c>
      <c r="G18" s="19" t="str">
        <f>IF(AND(C4=2,C3=0),(VALUE(E7&amp;F7&amp;G7&amp;H7)+3)&amp;"/"&amp;J9&amp;"/"&amp;"20","")</f>
        <v/>
      </c>
      <c r="H18" s="17" t="str">
        <f>IF(AND(C4=2,C3=0,C2&gt;=3),C8*1000,"")</f>
        <v/>
      </c>
      <c r="I18" s="18" t="str">
        <f t="shared" si="2"/>
        <v/>
      </c>
      <c r="J18">
        <v>3</v>
      </c>
      <c r="K18" s="19" t="str">
        <f>IF(AND(C4=2,C3&gt;0,C2&gt;=3),IF(AND(C4=2,C3&gt;0),(VALUE(E7&amp;F7&amp;G7&amp;H7)+3)&amp;"/"&amp;J9&amp;"/"&amp;"20",""),"")</f>
        <v/>
      </c>
      <c r="L18" s="17" t="str">
        <f>IF(AND(C4=2,C3&gt;0,C2&gt;=3),IF(OR(C3=1,C3=2),C8*1000,IF(C3&gt;=3,"据置③","")),"")</f>
        <v/>
      </c>
      <c r="M18" s="15" t="str">
        <f>IFERROR(IF(L18="据置③",M17,M17-L18),"")</f>
        <v/>
      </c>
    </row>
    <row r="19" spans="1:13" x14ac:dyDescent="0.15">
      <c r="A19">
        <v>7</v>
      </c>
      <c r="B19" s="8" t="str">
        <f>IF(AND(C4=1,C3=0,C2&gt;=7),(VALUE(E7&amp;F7&amp;G7&amp;H7)+7)&amp;"/"&amp;J9&amp;"/"&amp;"20","")</f>
        <v/>
      </c>
      <c r="C19" s="10" t="str">
        <f t="shared" si="3"/>
        <v/>
      </c>
      <c r="D19" s="9" t="str">
        <f t="shared" si="1"/>
        <v/>
      </c>
      <c r="G19" s="19" t="str">
        <f>IF(AND(C4=2,C3=0,C2&gt;3),IF(J9&gt;6,VALUE(E7&amp;F7&amp;H8+4&amp;"/"&amp;J9-6&amp;"/"&amp;20),VALUE(E7&amp;F7&amp;H8+3&amp;"/"&amp;J9+6&amp;"/"&amp;20)),"")</f>
        <v/>
      </c>
      <c r="H19" s="17" t="str">
        <f>IF(AND(C4=2,C3=0,C2&gt;3),C8*1000,"")</f>
        <v/>
      </c>
      <c r="I19" s="18" t="str">
        <f t="shared" si="2"/>
        <v/>
      </c>
      <c r="K19" s="19" t="str">
        <f>IF(AND(C4=2,C3&gt;0,C2&gt;3),IF(J9&gt;6,VALUE(E7&amp;F7&amp;H8+4&amp;"/"&amp;J9-6&amp;"/"&amp;20),VALUE(E7&amp;F7&amp;H8+3&amp;"/"&amp;J9+6&amp;"/"&amp;20)),"")</f>
        <v/>
      </c>
      <c r="L19" s="17" t="str">
        <f>IF(AND(C4=2,C3&gt;0,C2&gt;3),IF(C3=3,C7*1000,IF(C3&gt;=4,"据置④",IF(OR(C3=1,C3=2),C8*1000,""))),"")</f>
        <v/>
      </c>
      <c r="M19" s="15" t="str">
        <f>IFERROR(IF(L19="据置④",M18,M18-L19),"")</f>
        <v/>
      </c>
    </row>
    <row r="20" spans="1:13" x14ac:dyDescent="0.15">
      <c r="A20">
        <v>8</v>
      </c>
      <c r="B20" s="8" t="str">
        <f>IF(AND(C4=1,C3=0,C2&gt;=8),(VALUE(E7&amp;F7&amp;G7&amp;H7)+8)&amp;"/"&amp;J9&amp;"/"&amp;"20","")</f>
        <v/>
      </c>
      <c r="C20" s="10" t="str">
        <f t="shared" si="3"/>
        <v/>
      </c>
      <c r="D20" s="9" t="str">
        <f t="shared" si="1"/>
        <v/>
      </c>
      <c r="F20">
        <v>4</v>
      </c>
      <c r="G20" s="19" t="str">
        <f>IF(AND(C4=2,C3=0,C2&gt;=4),(VALUE(E7&amp;F7&amp;G7&amp;H7)+4)&amp;"/"&amp;J9&amp;"/"&amp;"20","")</f>
        <v/>
      </c>
      <c r="H20" s="17" t="str">
        <f>IF(AND(C4=2,C3=0,C2&gt;=4),C8*1000,"")</f>
        <v/>
      </c>
      <c r="I20" s="18" t="str">
        <f t="shared" si="2"/>
        <v/>
      </c>
      <c r="J20">
        <v>4</v>
      </c>
      <c r="K20" s="19" t="str">
        <f>IF(AND(C4=2,C3&gt;0,C2&gt;=4),IF(AND(C4=2,C3&gt;0),(VALUE(E7&amp;F7&amp;G7&amp;H7)+4)&amp;"/"&amp;J9&amp;"/"&amp;"20",""),"")</f>
        <v/>
      </c>
      <c r="L20" s="17" t="str">
        <f>IF(AND(C4=2,C3&gt;0,C2&gt;=4),IF(OR(C3=1,C3=2,C3=3),C8*1000,IF(C3&gt;=4,"据置④","")),"")</f>
        <v/>
      </c>
      <c r="M20" s="15" t="str">
        <f>IFERROR(IF(L20="据置④",M19,M19-L20),"")</f>
        <v/>
      </c>
    </row>
    <row r="21" spans="1:13" x14ac:dyDescent="0.15">
      <c r="A21">
        <v>9</v>
      </c>
      <c r="B21" s="8" t="str">
        <f>IF(AND(C4=1,C3=0,C2&gt;=9),(VALUE(E7&amp;F7&amp;G7&amp;H7)+9)&amp;"/"&amp;J9&amp;"/"&amp;"20","")</f>
        <v/>
      </c>
      <c r="C21" s="10" t="str">
        <f t="shared" si="3"/>
        <v/>
      </c>
      <c r="D21" s="9" t="str">
        <f t="shared" si="1"/>
        <v/>
      </c>
      <c r="G21" s="19" t="str">
        <f>IF(AND(C4=2,C3=0,C2&gt;4),IF(J9&gt;6,VALUE(E7&amp;F7&amp;H8+5&amp;"/"&amp;J9-6&amp;"/"&amp;20),VALUE(E7&amp;F7&amp;H8+4&amp;"/"&amp;J9+6&amp;"/"&amp;20)),"")</f>
        <v/>
      </c>
      <c r="H21" s="17" t="str">
        <f>IF(AND(C4=2,C3=0,C2&gt;4),C8*1000,"")</f>
        <v/>
      </c>
      <c r="I21" s="18" t="str">
        <f t="shared" si="2"/>
        <v/>
      </c>
      <c r="K21" s="19" t="str">
        <f>IF(AND(C4=2,C3&gt;0,C2&gt;4),IF(J9&gt;6,VALUE(E7&amp;F7&amp;H8+5&amp;"/"&amp;J9-6&amp;"/"&amp;20),VALUE(E7&amp;F7&amp;H8+4&amp;"/"&amp;J9+6&amp;"/"&amp;20)),"")</f>
        <v/>
      </c>
      <c r="L21" s="17" t="str">
        <f>IF(AND(C4=2,C3&gt;0,C2&gt;4),IF(C3=4,C7*1000,IF(C3&gt;=5,"据置⑤",IF(OR(C3=1,C3=2,C3=3),C8*1000,""))),"")</f>
        <v/>
      </c>
      <c r="M21" s="15" t="str">
        <f>IFERROR(IF(L21="据置⑤",M20,M20-L21),"")</f>
        <v/>
      </c>
    </row>
    <row r="22" spans="1:13" x14ac:dyDescent="0.15">
      <c r="A22">
        <v>10</v>
      </c>
      <c r="B22" s="8" t="str">
        <f>IF(AND(C4=1,C3=0,C2&gt;=10),(VALUE(E7&amp;F7&amp;G7&amp;H7)+10)&amp;"/"&amp;J9&amp;"/"&amp;"20","")</f>
        <v/>
      </c>
      <c r="C22" s="10" t="str">
        <f t="shared" si="3"/>
        <v/>
      </c>
      <c r="D22" s="9" t="str">
        <f t="shared" si="1"/>
        <v/>
      </c>
      <c r="F22">
        <v>5</v>
      </c>
      <c r="G22" s="19" t="str">
        <f>IF(AND(C4=2,C3=0,C2&gt;=5),(VALUE(E7&amp;F7&amp;G7&amp;H7)+5)&amp;"/"&amp;J9&amp;"/"&amp;"20","")</f>
        <v/>
      </c>
      <c r="H22" s="17" t="str">
        <f>IF(AND(C4=2,C3=0,C2&gt;=5),C8*1000,"")</f>
        <v/>
      </c>
      <c r="I22" s="18" t="str">
        <f t="shared" si="2"/>
        <v/>
      </c>
      <c r="J22">
        <v>5</v>
      </c>
      <c r="K22" s="19" t="str">
        <f>IF(AND(C4=2,C3&gt;0,C2&gt;=5),IF(AND(C4=2,C3&gt;0),(VALUE(E7&amp;F7&amp;G7&amp;H7)+5)&amp;"/"&amp;J9&amp;"/"&amp;"20",""),"")</f>
        <v/>
      </c>
      <c r="L22" s="17" t="str">
        <f>IF(AND(C4=2,C3&gt;0,C2&gt;=5),IF(OR(C3=1,C3=2,C3=3,C3=4),C8*1000,IF(C3&gt;=5,"据置⑤","")),"")</f>
        <v/>
      </c>
      <c r="M22" s="15" t="str">
        <f>IFERROR(IF(L22="据置⑤",M21,M21-L22),"")</f>
        <v/>
      </c>
    </row>
    <row r="23" spans="1:13" x14ac:dyDescent="0.15">
      <c r="A23">
        <v>11</v>
      </c>
      <c r="B23" s="8" t="str">
        <f>IF(AND(C4=1,C3=0,C2&gt;=11),(VALUE(E7&amp;F7&amp;G7&amp;H7)+11)&amp;"/"&amp;J9&amp;"/"&amp;"20","")</f>
        <v/>
      </c>
      <c r="C23" s="10" t="str">
        <f t="shared" si="3"/>
        <v/>
      </c>
      <c r="D23" s="9" t="str">
        <f t="shared" si="1"/>
        <v/>
      </c>
      <c r="F23" s="3"/>
      <c r="G23" s="19" t="str">
        <f>IF(AND(C4=2,C3=0,C2&gt;5),IF(J9&gt;6,VALUE(E7&amp;F7&amp;H8+6&amp;"/"&amp;J9-6&amp;"/"&amp;20),VALUE(E7&amp;F7&amp;H8+5&amp;"/"&amp;J9+6&amp;"/"&amp;20)),"")</f>
        <v/>
      </c>
      <c r="H23" s="12" t="str">
        <f>IF(AND(C4=2,C3=0,C2&gt;5),C8*1000,"")</f>
        <v/>
      </c>
      <c r="I23" s="18" t="str">
        <f t="shared" si="2"/>
        <v/>
      </c>
      <c r="K23" s="19" t="str">
        <f>IF(AND(C4=2,C3&gt;0,C2&gt;5),IF(J9&gt;6,VALUE(E7&amp;F7&amp;H8+6&amp;"/"&amp;J9-6&amp;"/"&amp;20),VALUE(E7&amp;F7&amp;H8+5&amp;"/"&amp;J9+6&amp;"/"&amp;20)),"")</f>
        <v/>
      </c>
      <c r="L23" s="17" t="str">
        <f>IF(AND(C4=2,C3&gt;0,C2&gt;5),IF(C3=5,C7*1000,IF(C3&gt;=6,"据置⑥",IF(OR(C3=1,C3=2,C3=3,C3=4),C8*1000,""))),"")</f>
        <v/>
      </c>
      <c r="M23" s="15" t="str">
        <f>IFERROR(IF(L23="据置⑥",M22,M22-L23),"")</f>
        <v/>
      </c>
    </row>
    <row r="24" spans="1:13" x14ac:dyDescent="0.15">
      <c r="A24">
        <v>12</v>
      </c>
      <c r="B24" s="8" t="str">
        <f>IF(AND(C4=1,C3=0,C2&gt;=12),(VALUE(E7&amp;F7&amp;G7&amp;H7)+12)&amp;"/"&amp;J9&amp;"/"&amp;"20","")</f>
        <v/>
      </c>
      <c r="C24" s="10" t="str">
        <f t="shared" si="3"/>
        <v/>
      </c>
      <c r="D24" s="9" t="str">
        <f t="shared" si="1"/>
        <v/>
      </c>
      <c r="F24">
        <v>6</v>
      </c>
      <c r="G24" s="19" t="str">
        <f>IF(AND(C4=2,C3=0,C2&gt;=6),(VALUE(E7&amp;F7&amp;G7&amp;H7)+6)&amp;"/"&amp;J9&amp;"/"&amp;"20","")</f>
        <v/>
      </c>
      <c r="H24" s="17" t="str">
        <f>IF(AND(C4=2,C3=0,C2&gt;=6),C8*1000,"")</f>
        <v/>
      </c>
      <c r="I24" s="18" t="str">
        <f t="shared" si="2"/>
        <v/>
      </c>
      <c r="J24">
        <v>6</v>
      </c>
      <c r="K24" s="19" t="str">
        <f>IF(AND(C4=2,C3&gt;0,C2&gt;=6),IF(AND(C4=2,C3&gt;0),(VALUE(E7&amp;F7&amp;G7&amp;H7)+6)&amp;"/"&amp;J9&amp;"/"&amp;"20",""),"")</f>
        <v/>
      </c>
      <c r="L24" s="17" t="str">
        <f>IF(AND(C4=2,C3&gt;0,C2&gt;=6),IF(OR(C3=1,C3=2,C3=3,C3=4,C3=5),C8*1000,IF(C3&gt;=6,"据置⑥","")),"")</f>
        <v/>
      </c>
      <c r="M24" s="15" t="str">
        <f>IFERROR(IF(L24="据置⑥",M23,M23-L24),"")</f>
        <v/>
      </c>
    </row>
    <row r="25" spans="1:13" x14ac:dyDescent="0.15">
      <c r="A25">
        <v>13</v>
      </c>
      <c r="B25" s="8" t="str">
        <f>IF(AND(C4=1,C3=0,C2&gt;=13),(VALUE(E7&amp;F7&amp;G7&amp;H7)+13)&amp;"/"&amp;J9&amp;"/"&amp;"20","")</f>
        <v/>
      </c>
      <c r="C25" s="10" t="str">
        <f t="shared" si="3"/>
        <v/>
      </c>
      <c r="D25" s="9" t="str">
        <f t="shared" si="1"/>
        <v/>
      </c>
      <c r="G25" s="19" t="str">
        <f>IF(AND(C4=2,C3=0,C2&gt;6),IF(J9&gt;6,VALUE(E7&amp;F7&amp;H8+7&amp;"/"&amp;J9-6&amp;"/"&amp;20),VALUE(E7&amp;F7&amp;H8+6&amp;"/"&amp;J9+6&amp;"/"&amp;20)),"")</f>
        <v/>
      </c>
      <c r="H25" s="17" t="str">
        <f>IF(AND(C4=2,C3=0,C2&gt;6),C8*1000,"")</f>
        <v/>
      </c>
      <c r="I25" s="18" t="str">
        <f t="shared" si="2"/>
        <v/>
      </c>
      <c r="K25" s="19" t="str">
        <f>IF(AND(C4=2,C3&gt;0,C2&gt;6),IF(J9&gt;6,VALUE(E7&amp;F7&amp;H8+7&amp;"/"&amp;J9-6&amp;"/"&amp;20),VALUE(E7&amp;F7&amp;H8+6&amp;"/"&amp;J9+6&amp;"/"&amp;20)),"")</f>
        <v/>
      </c>
      <c r="L25" s="17" t="str">
        <f>IF(AND(C4=2,C3&gt;0,C2&gt;6),IF(C3=6,C7*1000,IF(C3&gt;=7,"据置⑦",IF(OR(C3=1,C3=2,C3=3,C3=4,C3=5),C8*1000,""))),"")</f>
        <v/>
      </c>
      <c r="M25" s="15" t="str">
        <f>IFERROR(IF(L25="据置⑦",M24,M24-L25),"")</f>
        <v/>
      </c>
    </row>
    <row r="26" spans="1:13" x14ac:dyDescent="0.15">
      <c r="A26">
        <v>14</v>
      </c>
      <c r="B26" s="8" t="str">
        <f>IF(AND(C4=1,C3=0,C2&gt;=14),(VALUE(E7&amp;F7&amp;G7&amp;H7)+14)&amp;"/"&amp;J9&amp;"/"&amp;"20","")</f>
        <v/>
      </c>
      <c r="C26" s="10" t="str">
        <f t="shared" si="3"/>
        <v/>
      </c>
      <c r="D26" s="9" t="str">
        <f t="shared" si="1"/>
        <v/>
      </c>
      <c r="F26">
        <v>7</v>
      </c>
      <c r="G26" s="19" t="str">
        <f>IF(AND(C4=2,C3=0,C2&gt;=7),(VALUE(E7&amp;F7&amp;G7&amp;H7)+7)&amp;"/"&amp;J9&amp;"/"&amp;"20","")</f>
        <v/>
      </c>
      <c r="H26" s="17" t="str">
        <f>IF(AND(C4=2,C3=0,C2&gt;=7),C8*1000,"")</f>
        <v/>
      </c>
      <c r="I26" s="18" t="str">
        <f t="shared" si="2"/>
        <v/>
      </c>
      <c r="J26">
        <v>7</v>
      </c>
      <c r="K26" s="20" t="str">
        <f>IF(AND(C4=2,C3&gt;0,C2&gt;=7),IF(AND(C4=2,C3&gt;0),(VALUE(E7&amp;F7&amp;G7&amp;H7)+7)&amp;"/"&amp;J9&amp;"/"&amp;"20",""),"")</f>
        <v/>
      </c>
      <c r="L26" s="43" t="str">
        <f>IF(AND(C4=2,C3&gt;0,C2&gt;=7),IF(OR(C3=1,C3=2,C3=3,C3=4,C3=5,C3=6),C8*1000,IF(C3=7,"据置⑦","")),"")</f>
        <v/>
      </c>
      <c r="M26" s="15" t="str">
        <f>IFERROR(IF(L26="据置⑦",M25,M25-L26),"")</f>
        <v/>
      </c>
    </row>
    <row r="27" spans="1:13" x14ac:dyDescent="0.15">
      <c r="A27">
        <v>15</v>
      </c>
      <c r="B27" s="11" t="str">
        <f>IF(AND(C4=1,C3=0,C2=15),(VALUE(E7&amp;F7&amp;G7&amp;H7)+15)&amp;"/"&amp;J9&amp;"/"&amp;"20","")</f>
        <v/>
      </c>
      <c r="C27" s="10" t="str">
        <f t="shared" si="3"/>
        <v/>
      </c>
      <c r="D27" s="9" t="str">
        <f t="shared" si="1"/>
        <v/>
      </c>
      <c r="G27" s="19" t="str">
        <f>IF(AND(C4=2,C3=0,C2&gt;7),IF(J9&gt;6,VALUE(E7&amp;F7&amp;H8+8&amp;"/"&amp;J9-6&amp;"/"&amp;20),VALUE(E7&amp;F7&amp;H8+7&amp;"/"&amp;J9+6&amp;"/"&amp;20)),"")</f>
        <v/>
      </c>
      <c r="H27" s="17" t="str">
        <f>IF(AND(C4=2,C3=0,C2&gt;7),C8*1000,"")</f>
        <v/>
      </c>
      <c r="I27" s="18" t="str">
        <f t="shared" si="2"/>
        <v/>
      </c>
      <c r="K27" s="19" t="str">
        <f>IF(AND(C4=2,C3&gt;0,C2&gt;7),IF(J9&gt;6,VALUE(E7&amp;F7&amp;H8+8&amp;"/"&amp;J9-6&amp;"/"&amp;20),VALUE(E7&amp;F7&amp;H8+7&amp;"/"&amp;J9+6&amp;"/"&amp;20)),"")</f>
        <v/>
      </c>
      <c r="L27" s="17" t="str">
        <f>IF(AND(C4=2,C3&gt;0,C2&gt;7),IF(C3=7,C7*1000,IF(OR(C3=1,C3=2,C3=3,C3=4,C3=5,C3=6),C8*1000,IF(C3&gt;=8,C8*1000,""))),"")</f>
        <v/>
      </c>
      <c r="M27" s="18" t="str">
        <f t="shared" ref="M27:M42" si="4">IFERROR(M26-L27,"")</f>
        <v/>
      </c>
    </row>
    <row r="28" spans="1:13" x14ac:dyDescent="0.15">
      <c r="B28" s="2"/>
      <c r="D28" s="3"/>
      <c r="F28">
        <v>8</v>
      </c>
      <c r="G28" s="19" t="str">
        <f>IF(AND(C4=2,C3=0,C2&gt;=8),(VALUE(E7&amp;F7&amp;G7&amp;H7)+8)&amp;"/"&amp;J9&amp;"/"&amp;"20","")</f>
        <v/>
      </c>
      <c r="H28" s="17" t="str">
        <f>IF(AND(C4=2,C3=0,C2&gt;=8),C8*1000,"")</f>
        <v/>
      </c>
      <c r="I28" s="18" t="str">
        <f t="shared" si="2"/>
        <v/>
      </c>
      <c r="J28">
        <v>8</v>
      </c>
      <c r="K28" s="19" t="str">
        <f>IF(AND(C4=2,C3&gt;0,C2&gt;=8),IF(AND(C4=2,C3&gt;0),(VALUE(E7&amp;F7&amp;G7&amp;H7)+8)&amp;"/"&amp;J9&amp;"/"&amp;"20",""),"")</f>
        <v/>
      </c>
      <c r="L28" s="17" t="str">
        <f>IF(AND(C4=2,C3&gt;0,C2&gt;=8),IF(C3=7,C8*1000,IF(OR(C3=1,C3=2,C3=3,C3=4,C3=5,C3=6),C8*1000,IF(C3&gt;=8,C8*1000,""))),"")</f>
        <v/>
      </c>
      <c r="M28" s="18" t="str">
        <f t="shared" si="4"/>
        <v/>
      </c>
    </row>
    <row r="29" spans="1:13" x14ac:dyDescent="0.15">
      <c r="B29" s="41" t="s">
        <v>684</v>
      </c>
      <c r="C29" s="32" t="s">
        <v>685</v>
      </c>
      <c r="D29" s="33"/>
      <c r="G29" s="19" t="str">
        <f>IF(AND(C4=2,C3=0,C2&gt;8),IF(J9&gt;6,VALUE(E7&amp;F7&amp;H8+9&amp;"/"&amp;J9-6&amp;"/"&amp;20),VALUE(E7&amp;F7&amp;H8+8&amp;"/"&amp;J9+6&amp;"/"&amp;20)),"")</f>
        <v/>
      </c>
      <c r="H29" s="17" t="str">
        <f>IF(AND(C4=2,C3=0,C2&gt;8),C8*1000,"")</f>
        <v/>
      </c>
      <c r="I29" s="18" t="str">
        <f t="shared" si="2"/>
        <v/>
      </c>
      <c r="K29" s="19" t="str">
        <f>IF(AND(C4=2,C3&gt;0,C2&gt;8),IF(J9&gt;6,VALUE(E7&amp;F7&amp;H8+9&amp;"/"&amp;J9-6&amp;"/"&amp;20),VALUE(E7&amp;F7&amp;H8+8&amp;"/"&amp;J9+6&amp;"/"&amp;20)),"")</f>
        <v/>
      </c>
      <c r="L29" s="17" t="str">
        <f>IF(AND(C4=2,C3&gt;0,C2&gt;8),C8*1000,"")</f>
        <v/>
      </c>
      <c r="M29" s="18" t="str">
        <f t="shared" si="4"/>
        <v/>
      </c>
    </row>
    <row r="30" spans="1:13" x14ac:dyDescent="0.15">
      <c r="B30" s="31" t="s">
        <v>566</v>
      </c>
      <c r="C30" s="31" t="s">
        <v>688</v>
      </c>
      <c r="D30" s="31" t="s">
        <v>567</v>
      </c>
      <c r="F30">
        <v>9</v>
      </c>
      <c r="G30" s="19" t="str">
        <f>IF(AND(C4=2,C3=0,C2&gt;=9),(VALUE(E7&amp;F7&amp;G7&amp;H7)+9)&amp;"/"&amp;J9&amp;"/"&amp;"20","")</f>
        <v/>
      </c>
      <c r="H30" s="17" t="str">
        <f>IF(AND(C4=2,C3=0,C2&gt;=9),C8*1000,"")</f>
        <v/>
      </c>
      <c r="I30" s="18" t="str">
        <f t="shared" si="2"/>
        <v/>
      </c>
      <c r="J30">
        <v>9</v>
      </c>
      <c r="K30" s="19" t="str">
        <f>IF(AND(C4=2,C3&gt;0,C2&gt;=9),IF(AND(C4=2,C3&gt;0),(VALUE(E7&amp;F7&amp;G7&amp;H7)+9)&amp;"/"&amp;J9&amp;"/"&amp;"20",""),"")</f>
        <v/>
      </c>
      <c r="L30" s="17" t="str">
        <f>IF(AND(C4=2,C3&gt;0,C2&gt;=9),C8*1000,"")</f>
        <v/>
      </c>
      <c r="M30" s="18" t="str">
        <f t="shared" si="4"/>
        <v/>
      </c>
    </row>
    <row r="31" spans="1:13" x14ac:dyDescent="0.15">
      <c r="B31" s="8" t="str">
        <f>IF(AND(C4=1,C3&gt;0),C6,"")</f>
        <v/>
      </c>
      <c r="C31" s="7" t="str">
        <f>IF(AND(C4=1,C3&gt;0),"貸付実行日","")</f>
        <v/>
      </c>
      <c r="D31" s="9" t="str">
        <f>IF(AND(C4=1,C3&gt;0),C1*1000,"")</f>
        <v/>
      </c>
      <c r="G31" s="19" t="str">
        <f>IF(AND(C4=2,C3=0,C2&gt;9),IF(J9&gt;6,VALUE(E7&amp;F7&amp;H8+10&amp;"/"&amp;J9-6&amp;"/"&amp;20),VALUE(E7&amp;F7&amp;H8+9&amp;"/"&amp;J9+6&amp;"/"&amp;20)),"")</f>
        <v/>
      </c>
      <c r="H31" s="17" t="str">
        <f>IF(AND(C4=2,C3=0,C2&gt;9),C8*1000,"")</f>
        <v/>
      </c>
      <c r="I31" s="18" t="str">
        <f t="shared" si="2"/>
        <v/>
      </c>
      <c r="K31" s="19" t="str">
        <f>IF(AND(C4=2,C3&gt;0,C2&gt;9),IF(J9&gt;6,VALUE(E7&amp;F7&amp;H8+10&amp;"/"&amp;J9-6&amp;"/"&amp;20),VALUE(E7&amp;F7&amp;H8+9&amp;"/"&amp;J9+6&amp;"/"&amp;20)),"")</f>
        <v/>
      </c>
      <c r="L31" s="17" t="str">
        <f>IF(AND(C4=2,C3&gt;0,C2&gt;9),C8*1000,"")</f>
        <v/>
      </c>
      <c r="M31" s="18" t="str">
        <f t="shared" si="4"/>
        <v/>
      </c>
    </row>
    <row r="32" spans="1:13" x14ac:dyDescent="0.15">
      <c r="A32">
        <v>1</v>
      </c>
      <c r="B32" s="8" t="str">
        <f>IF(AND(C4=1,C3&gt;0),(VALUE(E7&amp;F7&amp;G7&amp;H7)+1)&amp;"/"&amp;J9&amp;"/"&amp;"20","")</f>
        <v/>
      </c>
      <c r="C32" s="7" t="str">
        <f>IF(AND(C4=1,C3&gt;0),"据置①","")</f>
        <v/>
      </c>
      <c r="D32" s="9" t="str">
        <f>D31</f>
        <v/>
      </c>
      <c r="F32">
        <v>10</v>
      </c>
      <c r="G32" s="19" t="str">
        <f>IF(AND(C4=2,C3=0,C2&gt;=10),(VALUE(E7&amp;F7&amp;G7&amp;H7)+10)&amp;"/"&amp;J9&amp;"/"&amp;"20","")</f>
        <v/>
      </c>
      <c r="H32" s="17" t="str">
        <f>IF(AND(C4=2,C3=0,C2&gt;=10),C8*1000,"")</f>
        <v/>
      </c>
      <c r="I32" s="18" t="str">
        <f t="shared" si="2"/>
        <v/>
      </c>
      <c r="J32">
        <v>10</v>
      </c>
      <c r="K32" s="19" t="str">
        <f>IF(AND(C4=2,C3&gt;0,C2&gt;=10),IF(AND(C4=2,C3&gt;0),(VALUE(E7&amp;F7&amp;G7&amp;H7)+10)&amp;"/"&amp;J9&amp;"/"&amp;"20",""),"")</f>
        <v/>
      </c>
      <c r="L32" s="17" t="str">
        <f>IF(AND(C4=2,C3&gt;0,C2&gt;=10),C8*1000,"")</f>
        <v/>
      </c>
      <c r="M32" s="18" t="str">
        <f t="shared" si="4"/>
        <v/>
      </c>
    </row>
    <row r="33" spans="1:13" x14ac:dyDescent="0.15">
      <c r="A33">
        <v>2</v>
      </c>
      <c r="B33" s="8" t="str">
        <f>IF(AND(C4=1,C3&gt;0),(VALUE(E7&amp;F7&amp;G7&amp;H7)+2)&amp;"/"&amp;J9&amp;"/"&amp;"20","")</f>
        <v/>
      </c>
      <c r="C33" s="12" t="str">
        <f>IF(C4=1,IF(C3=1,C7*1000,IF(C3=0,"","据置②")),"")</f>
        <v/>
      </c>
      <c r="D33" s="9" t="str">
        <f>IFERROR(IF(C33="据置②",D32,D32-C33),"")</f>
        <v/>
      </c>
      <c r="G33" s="19" t="str">
        <f>IF(AND(C4=2,C3=0,C2&gt;10),IF(J9&gt;6,VALUE(E7&amp;F7&amp;H8+11&amp;"/"&amp;J9-6&amp;"/"&amp;20),VALUE(E7&amp;F7&amp;H8+10&amp;"/"&amp;J9+6&amp;"/"&amp;20)),"")</f>
        <v/>
      </c>
      <c r="H33" s="17" t="str">
        <f>IF(AND(C4=2,C3=0,C2&gt;10),C8*1000,"")</f>
        <v/>
      </c>
      <c r="I33" s="18" t="str">
        <f t="shared" si="2"/>
        <v/>
      </c>
      <c r="K33" s="19" t="str">
        <f>IF(AND(C4=2,C3&gt;0,C2&gt;10),IF(J9&gt;6,VALUE(E7&amp;F7&amp;H8+11&amp;"/"&amp;J9-6&amp;"/"&amp;20),VALUE(E7&amp;F7&amp;H8+10&amp;"/"&amp;J9+6&amp;"/"&amp;20)),"")</f>
        <v/>
      </c>
      <c r="L33" s="17" t="str">
        <f>IF(AND(C4=2,C3&gt;0,C2&gt;10),C8*1000,"")</f>
        <v/>
      </c>
      <c r="M33" s="18" t="str">
        <f t="shared" si="4"/>
        <v/>
      </c>
    </row>
    <row r="34" spans="1:13" x14ac:dyDescent="0.15">
      <c r="A34">
        <v>3</v>
      </c>
      <c r="B34" s="8" t="str">
        <f>IF(AND(C2&gt;=3,C4=1,C3&gt;0),(VALUE(E7&amp;F7&amp;G7&amp;H7)+3)&amp;"/"&amp;J9&amp;"/"&amp;"20","")</f>
        <v/>
      </c>
      <c r="C34" s="12" t="str">
        <f>IF(C4=1,IF(C3=1,C8*1000,IF(C3=2,C7*1000,IF(C3&gt;=3,"据置③",""))),"")</f>
        <v/>
      </c>
      <c r="D34" s="9" t="str">
        <f>IFERROR(IF(C34="据置③",D32,D33-C34),"")</f>
        <v/>
      </c>
      <c r="F34">
        <v>11</v>
      </c>
      <c r="G34" s="19" t="str">
        <f>IF(AND(C4=2,C3=0,C2&gt;=11),(VALUE(E7&amp;F7&amp;G7&amp;H7)+11)&amp;"/"&amp;J9&amp;"/"&amp;"20","")</f>
        <v/>
      </c>
      <c r="H34" s="17" t="str">
        <f>IF(AND(C4=2,C3=0,C2&gt;=11),C8*1000,"")</f>
        <v/>
      </c>
      <c r="I34" s="18" t="str">
        <f t="shared" si="2"/>
        <v/>
      </c>
      <c r="J34">
        <v>11</v>
      </c>
      <c r="K34" s="19" t="str">
        <f>IF(AND(C4=2,C3&gt;0,C2&gt;=11),IF(AND(C4=2,C3&gt;0),(VALUE(E7&amp;F7&amp;G7&amp;H7)+11)&amp;"/"&amp;J9&amp;"/"&amp;"20",""),"")</f>
        <v/>
      </c>
      <c r="L34" s="17" t="str">
        <f>IF(AND(C4=2,C3&gt;0,C2&gt;=11),C8*1000,"")</f>
        <v/>
      </c>
      <c r="M34" s="18" t="str">
        <f t="shared" si="4"/>
        <v/>
      </c>
    </row>
    <row r="35" spans="1:13" x14ac:dyDescent="0.15">
      <c r="A35">
        <v>4</v>
      </c>
      <c r="B35" s="8" t="str">
        <f>IF(AND(C2&gt;=4,C4=1,C3&gt;0),(VALUE(E7&amp;F7&amp;G7&amp;H7)+4)&amp;"/"&amp;J9&amp;"/"&amp;"20","")</f>
        <v/>
      </c>
      <c r="C35" s="12" t="str">
        <f>IF(C4=1,IF(C3=3,C7*1000,IF(AND(OR(C3=2,C3=1),C2&gt;=4),C8*1000,IF(C3&gt;3,"据置④",""))),"")</f>
        <v/>
      </c>
      <c r="D35" s="9" t="str">
        <f>IFERROR(IF(C35="据置④",D34,D34-C35),"")</f>
        <v/>
      </c>
      <c r="G35" s="19" t="str">
        <f>IF(AND(C4=2,C3=0,C2&gt;11),IF(J9&gt;6,VALUE(E7&amp;F7&amp;H8+12&amp;"/"&amp;J9-6&amp;"/"&amp;20),VALUE(E7&amp;F7&amp;H8+11&amp;"/"&amp;J9+6&amp;"/"&amp;20)),"")</f>
        <v/>
      </c>
      <c r="H35" s="17" t="str">
        <f>IF(AND(C4=2,C3=0,C2&gt;11),C8*1000,"")</f>
        <v/>
      </c>
      <c r="I35" s="18" t="str">
        <f t="shared" si="2"/>
        <v/>
      </c>
      <c r="K35" s="19" t="str">
        <f>IF(AND(C4=2,C3&gt;0,C2&gt;11),IF(J9&gt;6,VALUE(E7&amp;F7&amp;H8+12&amp;"/"&amp;J9-6&amp;"/"&amp;20),VALUE(E7&amp;F7&amp;H8+11&amp;"/"&amp;J9+6&amp;"/"&amp;20)),"")</f>
        <v/>
      </c>
      <c r="L35" s="17" t="str">
        <f>IF(AND(C4=2,C3&gt;0,C2&gt;11),C8*1000,"")</f>
        <v/>
      </c>
      <c r="M35" s="18" t="str">
        <f t="shared" si="4"/>
        <v/>
      </c>
    </row>
    <row r="36" spans="1:13" x14ac:dyDescent="0.15">
      <c r="A36">
        <v>5</v>
      </c>
      <c r="B36" s="8" t="str">
        <f>IF(AND(C2&gt;=5,C4=1,C3&gt;0),(VALUE(E7&amp;F7&amp;G7&amp;H7)+5)&amp;"/"&amp;J9&amp;"/"&amp;"20","")</f>
        <v/>
      </c>
      <c r="C36" s="12" t="str">
        <f>IF(C4=1,IF(C3=4,C7*1000,IF(AND(C2&gt;=5,C3&lt;=3,NOT(C3=0)),C8*1000,IF(C3&gt;4,"据置⑤",""))),"")</f>
        <v/>
      </c>
      <c r="D36" s="9" t="str">
        <f>IFERROR(IF(C36="据置⑤",D35,D35-C36),"")</f>
        <v/>
      </c>
      <c r="F36">
        <v>12</v>
      </c>
      <c r="G36" s="19" t="str">
        <f>IF(AND(C4=2,C3=0,C2&gt;=12),(VALUE(E7&amp;F7&amp;G7&amp;H7)+12)&amp;"/"&amp;J9&amp;"/"&amp;"20","")</f>
        <v/>
      </c>
      <c r="H36" s="17" t="str">
        <f>IF(AND(C4=2,C3=0,C2&gt;=12),C8*1000,"")</f>
        <v/>
      </c>
      <c r="I36" s="18" t="str">
        <f t="shared" si="2"/>
        <v/>
      </c>
      <c r="J36">
        <v>12</v>
      </c>
      <c r="K36" s="19" t="str">
        <f>IF(AND(C4=2,C3&gt;0,C2&gt;=12),IF(AND(C4=2,C3&gt;0),(VALUE(E7&amp;F7&amp;G7&amp;H7)+12)&amp;"/"&amp;J9&amp;"/"&amp;"20",""),"")</f>
        <v/>
      </c>
      <c r="L36" s="17" t="str">
        <f>IF(AND(C4=2,C3&gt;0,C2&gt;=12),C8*1000,"")</f>
        <v/>
      </c>
      <c r="M36" s="18" t="str">
        <f t="shared" si="4"/>
        <v/>
      </c>
    </row>
    <row r="37" spans="1:13" x14ac:dyDescent="0.15">
      <c r="A37">
        <v>6</v>
      </c>
      <c r="B37" s="8" t="str">
        <f>IF(AND(C2&gt;=6,C4=1,C3&gt;0),(VALUE(E7&amp;F7&amp;G7&amp;H7)+6)&amp;"/"&amp;J9&amp;"/"&amp;"20","")</f>
        <v/>
      </c>
      <c r="C37" s="12" t="str">
        <f>IF(C4=1,IF(C3=5,C7*1000,IF(AND(C2&gt;=6,C3&lt;=4,NOT(C3=0)),C8*1000,IF(C3&gt;5,"据置⑥",""))),"")</f>
        <v/>
      </c>
      <c r="D37" s="9" t="str">
        <f>IFERROR(IF(C37="据置⑥",D36,D36-C37),"")</f>
        <v/>
      </c>
      <c r="G37" s="19" t="str">
        <f>IF(AND(C4=2,C3=0,C2&gt;12),IF(J9&gt;6,VALUE(E7&amp;F7&amp;H8+13&amp;"/"&amp;J9-6&amp;"/"&amp;20),VALUE(E7&amp;F7&amp;H8+12&amp;"/"&amp;J9+6&amp;"/"&amp;20)),"")</f>
        <v/>
      </c>
      <c r="H37" s="17" t="str">
        <f>IF(AND(C4=2,C3=0,C2&gt;12),C8*1000,"")</f>
        <v/>
      </c>
      <c r="I37" s="18" t="str">
        <f t="shared" si="2"/>
        <v/>
      </c>
      <c r="K37" s="19" t="str">
        <f>IF(AND(C4=2,C3&gt;0,C2&gt;12),IF(J9&gt;6,VALUE(E7&amp;F7&amp;H8+13&amp;"/"&amp;J9-6&amp;"/"&amp;20),VALUE(E7&amp;F7&amp;H8+12&amp;"/"&amp;J9+6&amp;"/"&amp;20)),"")</f>
        <v/>
      </c>
      <c r="L37" s="17" t="str">
        <f>IF(AND(C4=2,C3&gt;0,C2&gt;12),C8*1000,"")</f>
        <v/>
      </c>
      <c r="M37" s="18" t="str">
        <f t="shared" si="4"/>
        <v/>
      </c>
    </row>
    <row r="38" spans="1:13" x14ac:dyDescent="0.15">
      <c r="A38">
        <v>7</v>
      </c>
      <c r="B38" s="8" t="str">
        <f>IF(AND(C2&gt;=7,C4=1,C3&gt;0),(VALUE(E7&amp;F7&amp;G7&amp;H7)+7)&amp;"/"&amp;J9&amp;"/"&amp;"20","")</f>
        <v/>
      </c>
      <c r="C38" s="12" t="str">
        <f>IF(C4=1,IF(C3=6,C7*1000,IF(AND(C2&gt;=7,C3&lt;=5,NOT(C3=0)),C8*1000,IF(C3&gt;6,"据置⑦",""))),"")</f>
        <v/>
      </c>
      <c r="D38" s="9" t="str">
        <f>IFERROR(IF(C38="据置⑦",D37,D37-C38),"")</f>
        <v/>
      </c>
      <c r="F38">
        <v>13</v>
      </c>
      <c r="G38" s="19" t="str">
        <f>IF(AND(C4=2,C3=0,C2&gt;=13),(VALUE(E7&amp;F7&amp;G7&amp;H7)+13)&amp;"/"&amp;J9&amp;"/"&amp;"20","")</f>
        <v/>
      </c>
      <c r="H38" s="17" t="str">
        <f>IF(AND(C4=2,C3=0,C2&gt;=13),C8*1000,"")</f>
        <v/>
      </c>
      <c r="I38" s="18" t="str">
        <f t="shared" si="2"/>
        <v/>
      </c>
      <c r="J38">
        <v>13</v>
      </c>
      <c r="K38" s="19" t="str">
        <f>IF(AND(C4=2,C3&gt;0,C2&gt;=13),IF(AND(C4=2,C3&gt;0),(VALUE(E7&amp;F7&amp;G7&amp;H7)+13)&amp;"/"&amp;J9&amp;"/"&amp;"20",""),"")</f>
        <v/>
      </c>
      <c r="L38" s="17" t="str">
        <f>IF(AND(C4=2,C3&gt;0,C2&gt;=13),C8*1000,"")</f>
        <v/>
      </c>
      <c r="M38" s="18" t="str">
        <f t="shared" si="4"/>
        <v/>
      </c>
    </row>
    <row r="39" spans="1:13" x14ac:dyDescent="0.15">
      <c r="A39">
        <v>8</v>
      </c>
      <c r="B39" s="8" t="str">
        <f>IF(AND(C2&gt;=8,C4=1,C3&gt;0),(VALUE(E7&amp;F7&amp;G7&amp;H7)+8)&amp;"/"&amp;J9&amp;"/"&amp;"20","")</f>
        <v/>
      </c>
      <c r="C39" s="12" t="str">
        <f>IF(C4=1,IF(C3=7,C7*1000,IF(AND(C2&gt;=8,C3&lt;=6,NOT(C3=0)),C8*1000,"")),"")</f>
        <v/>
      </c>
      <c r="D39" s="9" t="str">
        <f t="shared" ref="D39:D46" si="5">IFERROR(D38-C39,"")</f>
        <v/>
      </c>
      <c r="G39" s="19" t="str">
        <f>IF(AND(C4=2,C3=0,C2&gt;13),IF(J9&gt;6,VALUE(E7&amp;F7&amp;H8+14&amp;"/"&amp;J9-6&amp;"/"&amp;20),VALUE(E7&amp;F7&amp;H8+13&amp;"/"&amp;J9+6&amp;"/"&amp;20)),"")</f>
        <v/>
      </c>
      <c r="H39" s="17" t="str">
        <f>IF(AND(C4=2,C3=0,C2&gt;13),C8*1000,"")</f>
        <v/>
      </c>
      <c r="I39" s="18" t="str">
        <f t="shared" si="2"/>
        <v/>
      </c>
      <c r="K39" s="19" t="str">
        <f>IF(AND(C4=2,C3&gt;0,C2&gt;13),IF(J9&gt;6,VALUE(E7&amp;F7&amp;H8+14&amp;"/"&amp;J9-6&amp;"/"&amp;20),VALUE(E7&amp;F7&amp;H8+13&amp;"/"&amp;J9+6&amp;"/"&amp;20)),"")</f>
        <v/>
      </c>
      <c r="L39" s="17" t="str">
        <f>IF(AND(C4=2,C3&gt;0,C2&gt;13),C8*1000,"")</f>
        <v/>
      </c>
      <c r="M39" s="18" t="str">
        <f t="shared" si="4"/>
        <v/>
      </c>
    </row>
    <row r="40" spans="1:13" x14ac:dyDescent="0.15">
      <c r="A40">
        <v>9</v>
      </c>
      <c r="B40" s="8" t="str">
        <f>IF(AND(C2&gt;=9,C4=1,C3&gt;0),(VALUE(E7&amp;F7&amp;G7&amp;H7)+9)&amp;"/"&amp;J9&amp;"/"&amp;"20","")</f>
        <v/>
      </c>
      <c r="C40" s="12" t="str">
        <f>IF(C4=1,IF(AND(C2&gt;=9,NOT(C3=0)),C8*1000,""),"")</f>
        <v/>
      </c>
      <c r="D40" s="9" t="str">
        <f t="shared" si="5"/>
        <v/>
      </c>
      <c r="F40">
        <v>14</v>
      </c>
      <c r="G40" s="19" t="str">
        <f>IF(AND(C4=2,C3=0,C2&gt;=14),(VALUE(E7&amp;F7&amp;G7&amp;H7)+14)&amp;"/"&amp;J9&amp;"/"&amp;"20","")</f>
        <v/>
      </c>
      <c r="H40" s="17" t="str">
        <f>IF(AND(C4=2,C3=0,C2&gt;=14),C8*1000,"")</f>
        <v/>
      </c>
      <c r="I40" s="18" t="str">
        <f t="shared" si="2"/>
        <v/>
      </c>
      <c r="J40">
        <v>14</v>
      </c>
      <c r="K40" s="19" t="str">
        <f>IF(AND(C4=2,C3&gt;0,C2&gt;=14),IF(AND(C4=2,C3&gt;0),(VALUE(E7&amp;F7&amp;G7&amp;H7)+14)&amp;"/"&amp;J9&amp;"/"&amp;"20",""),"")</f>
        <v/>
      </c>
      <c r="L40" s="17" t="str">
        <f>IF(AND(C4=2,C3&gt;0,C2&gt;=14),C8*1000,"")</f>
        <v/>
      </c>
      <c r="M40" s="18" t="str">
        <f t="shared" si="4"/>
        <v/>
      </c>
    </row>
    <row r="41" spans="1:13" x14ac:dyDescent="0.15">
      <c r="A41">
        <v>10</v>
      </c>
      <c r="B41" s="8" t="str">
        <f>IF(AND(C2&gt;=10,C4=1,C3&gt;0),(VALUE(E7&amp;F7&amp;G7&amp;H7)+10)&amp;"/"&amp;J9&amp;"/"&amp;"20","")</f>
        <v/>
      </c>
      <c r="C41" s="12" t="str">
        <f>IF(C4=1,IF(AND(C2&gt;=10,NOT(C3=0)),C8*1000,""),"")</f>
        <v/>
      </c>
      <c r="D41" s="9" t="str">
        <f t="shared" si="5"/>
        <v/>
      </c>
      <c r="G41" s="19" t="str">
        <f>IF(AND(C4=2,C3=0,C2&gt;14),IF(J9&gt;6,VALUE(E7&amp;F7&amp;H8+15&amp;"/"&amp;J9-6&amp;"/"&amp;20),VALUE(E7&amp;F7&amp;H8+14&amp;"/"&amp;J9+6&amp;"/"&amp;20)),"")</f>
        <v/>
      </c>
      <c r="H41" s="17" t="str">
        <f>IF(AND(C4=2,C3=0,C2&gt;14),C8*1000,"")</f>
        <v/>
      </c>
      <c r="I41" s="18" t="str">
        <f t="shared" si="2"/>
        <v/>
      </c>
      <c r="K41" s="19" t="str">
        <f>IF(AND(C4=2,C3&gt;0,C2&gt;14),IF(J9&gt;6,VALUE(E7&amp;F7&amp;H8+15&amp;"/"&amp;J9-6&amp;"/"&amp;20),VALUE(E7&amp;F7&amp;H8+14&amp;"/"&amp;J9+6&amp;"/"&amp;20)),"")</f>
        <v/>
      </c>
      <c r="L41" s="17" t="str">
        <f>IF(AND(C4=2,C3&gt;0,C2&gt;14),C8*1000,"")</f>
        <v/>
      </c>
      <c r="M41" s="18" t="str">
        <f t="shared" si="4"/>
        <v/>
      </c>
    </row>
    <row r="42" spans="1:13" x14ac:dyDescent="0.15">
      <c r="A42">
        <v>11</v>
      </c>
      <c r="B42" s="8" t="str">
        <f>IF(AND(C2&gt;=11,C4=1,C3&gt;0),(VALUE(E7&amp;F7&amp;G7&amp;H7)+11)&amp;"/"&amp;J9&amp;"/"&amp;"20","")</f>
        <v/>
      </c>
      <c r="C42" s="12" t="str">
        <f>IF(C4=1,IF(AND(C2&gt;=11,NOT(C3=0)),C8*1000,""),"")</f>
        <v/>
      </c>
      <c r="D42" s="9" t="str">
        <f t="shared" si="5"/>
        <v/>
      </c>
      <c r="F42">
        <v>15</v>
      </c>
      <c r="G42" s="19" t="str">
        <f>IF(AND(C4=2,C3=0,C2=15),(VALUE(E7&amp;F7&amp;G7&amp;H7)+15)&amp;"/"&amp;J9&amp;"/"&amp;"20","")</f>
        <v/>
      </c>
      <c r="H42" s="17" t="str">
        <f>IF(AND(C4=2,C3=0,C2=15),C8*1000,"")</f>
        <v/>
      </c>
      <c r="I42" s="18" t="str">
        <f t="shared" si="2"/>
        <v/>
      </c>
      <c r="J42">
        <v>15</v>
      </c>
      <c r="K42" s="19" t="str">
        <f>IF(AND(C4=2,C3&gt;0,C2=15),IF(AND(C4=2,C3&gt;0),(VALUE(E7&amp;F7&amp;G7&amp;H7)+15)&amp;"/"&amp;J9&amp;"/"&amp;"20",""),"")</f>
        <v/>
      </c>
      <c r="L42" s="17" t="str">
        <f>IF(AND(C4=2,C3&gt;0,C2=15),C8*1000,"")</f>
        <v/>
      </c>
      <c r="M42" s="18" t="str">
        <f t="shared" si="4"/>
        <v/>
      </c>
    </row>
    <row r="43" spans="1:13" x14ac:dyDescent="0.15">
      <c r="A43">
        <v>12</v>
      </c>
      <c r="B43" s="8" t="str">
        <f>IF(AND(C2&gt;=12,C4=1,C3&gt;0),(VALUE(E7&amp;F7&amp;G7&amp;H7)+12)&amp;"/"&amp;J9&amp;"/"&amp;"20","")</f>
        <v/>
      </c>
      <c r="C43" s="12" t="str">
        <f>IF(C4=1,IF(AND(C2&gt;=12,NOT(C3=0)),C8*1000,""),"")</f>
        <v/>
      </c>
      <c r="D43" s="9" t="str">
        <f t="shared" si="5"/>
        <v/>
      </c>
      <c r="G43" s="6"/>
      <c r="L43" s="5"/>
    </row>
    <row r="44" spans="1:13" x14ac:dyDescent="0.15">
      <c r="A44">
        <v>13</v>
      </c>
      <c r="B44" s="8" t="str">
        <f>IF(AND(C2&gt;=13,C4=1,C3&gt;0),(VALUE(E7&amp;F7&amp;G7&amp;H7)+13)&amp;"/"&amp;J9&amp;"/"&amp;"20","")</f>
        <v/>
      </c>
      <c r="C44" s="12" t="str">
        <f>IF(C4=1,IF(AND(C2&gt;=13,NOT(C3=0)),C8*1000,""),"")</f>
        <v/>
      </c>
      <c r="D44" s="9" t="str">
        <f t="shared" si="5"/>
        <v/>
      </c>
      <c r="G44" s="5"/>
      <c r="L44" s="5"/>
    </row>
    <row r="45" spans="1:13" x14ac:dyDescent="0.15">
      <c r="A45">
        <v>14</v>
      </c>
      <c r="B45" s="8" t="str">
        <f>IF(AND(C2&gt;=14,C4=1,C3&gt;0),(VALUE(E7&amp;F7&amp;G7&amp;H7)+14)&amp;"/"&amp;J9&amp;"/"&amp;"20","")</f>
        <v/>
      </c>
      <c r="C45" s="12" t="str">
        <f>IF(C4=1,IF(AND(C2&gt;=14,NOT(C3=0)),C8*1000,""),"")</f>
        <v/>
      </c>
      <c r="D45" s="9" t="str">
        <f t="shared" si="5"/>
        <v/>
      </c>
      <c r="G45" s="5"/>
      <c r="L45" s="5"/>
    </row>
    <row r="46" spans="1:13" x14ac:dyDescent="0.15">
      <c r="A46">
        <v>15</v>
      </c>
      <c r="B46" s="8" t="str">
        <f>IF(AND(C2=15,C4=1,C3&gt;0),(VALUE(E7&amp;F7&amp;G7&amp;H7)+15)&amp;"/"&amp;J9&amp;"/"&amp;"20","")</f>
        <v/>
      </c>
      <c r="C46" s="12" t="str">
        <f>IF(C4=1,IF(AND(C2&gt;=15,NOT(C3=0)),C8*1000,""),"")</f>
        <v/>
      </c>
      <c r="D46" s="9" t="str">
        <f t="shared" si="5"/>
        <v/>
      </c>
      <c r="G46" s="5"/>
      <c r="L46" s="5"/>
    </row>
    <row r="47" spans="1:13" x14ac:dyDescent="0.15">
      <c r="B47" s="2"/>
      <c r="G47" s="5"/>
      <c r="L47" s="5"/>
    </row>
    <row r="48" spans="1:13" x14ac:dyDescent="0.15">
      <c r="B48" s="2"/>
      <c r="G48" s="5"/>
      <c r="L48" s="5"/>
    </row>
    <row r="49" spans="1:7" x14ac:dyDescent="0.15">
      <c r="B49" s="2"/>
      <c r="G49" s="5"/>
    </row>
    <row r="50" spans="1:7" x14ac:dyDescent="0.15">
      <c r="A50" t="s">
        <v>695</v>
      </c>
      <c r="B50" s="2"/>
      <c r="G50" s="5"/>
    </row>
    <row r="51" spans="1:7" x14ac:dyDescent="0.15">
      <c r="B51" s="2"/>
      <c r="G51" s="5"/>
    </row>
    <row r="52" spans="1:7" x14ac:dyDescent="0.15">
      <c r="B52" s="2"/>
      <c r="G52" s="5"/>
    </row>
    <row r="53" spans="1:7" x14ac:dyDescent="0.15">
      <c r="B53" s="2"/>
      <c r="G53" s="5"/>
    </row>
    <row r="54" spans="1:7" x14ac:dyDescent="0.15">
      <c r="B54" s="2"/>
      <c r="G54" s="5"/>
    </row>
    <row r="55" spans="1:7" x14ac:dyDescent="0.15">
      <c r="B55" s="2"/>
      <c r="G55" s="5"/>
    </row>
    <row r="56" spans="1:7" x14ac:dyDescent="0.15">
      <c r="B56" s="2"/>
      <c r="G56" s="5"/>
    </row>
    <row r="57" spans="1:7" x14ac:dyDescent="0.15">
      <c r="B57" s="2"/>
      <c r="G57" s="5"/>
    </row>
    <row r="58" spans="1:7" x14ac:dyDescent="0.15">
      <c r="B58" s="2"/>
      <c r="G58" s="5"/>
    </row>
    <row r="59" spans="1:7" x14ac:dyDescent="0.15">
      <c r="B59" s="2"/>
      <c r="G59" s="5"/>
    </row>
    <row r="60" spans="1:7" x14ac:dyDescent="0.15">
      <c r="B60" s="2"/>
      <c r="G60" s="5"/>
    </row>
    <row r="61" spans="1:7" x14ac:dyDescent="0.15">
      <c r="B61" s="2"/>
      <c r="G61" s="5"/>
    </row>
    <row r="62" spans="1:7" x14ac:dyDescent="0.15">
      <c r="B62" s="2"/>
      <c r="G62" s="5"/>
    </row>
    <row r="63" spans="1:7" x14ac:dyDescent="0.15">
      <c r="B63" s="2"/>
      <c r="G63" s="5"/>
    </row>
    <row r="64" spans="1:7" x14ac:dyDescent="0.15">
      <c r="B64" s="2"/>
      <c r="G64" s="5"/>
    </row>
    <row r="65" spans="2:7" x14ac:dyDescent="0.15">
      <c r="B65" s="2"/>
      <c r="G65" s="5"/>
    </row>
    <row r="66" spans="2:7" x14ac:dyDescent="0.15">
      <c r="B66" s="2"/>
      <c r="G66" s="5"/>
    </row>
    <row r="67" spans="2:7" x14ac:dyDescent="0.15">
      <c r="B67" s="2"/>
      <c r="G67" s="5"/>
    </row>
    <row r="68" spans="2:7" x14ac:dyDescent="0.15">
      <c r="B68" s="2"/>
      <c r="G68" s="5"/>
    </row>
    <row r="69" spans="2:7" x14ac:dyDescent="0.15">
      <c r="B69" s="2"/>
    </row>
    <row r="70" spans="2:7" x14ac:dyDescent="0.15">
      <c r="B70" s="2"/>
    </row>
    <row r="71" spans="2:7" x14ac:dyDescent="0.15">
      <c r="B71" s="2"/>
    </row>
    <row r="72" spans="2:7" x14ac:dyDescent="0.15">
      <c r="B72" s="2"/>
    </row>
    <row r="73" spans="2:7" x14ac:dyDescent="0.15">
      <c r="B73" s="2"/>
    </row>
    <row r="74" spans="2:7" x14ac:dyDescent="0.15">
      <c r="B74" s="2"/>
    </row>
    <row r="75" spans="2:7" x14ac:dyDescent="0.15">
      <c r="B75" s="2"/>
    </row>
    <row r="76" spans="2:7" x14ac:dyDescent="0.15">
      <c r="B76" s="2"/>
    </row>
    <row r="77" spans="2:7" x14ac:dyDescent="0.15">
      <c r="B77" s="2"/>
    </row>
    <row r="78" spans="2:7" x14ac:dyDescent="0.15">
      <c r="B78" s="2"/>
    </row>
    <row r="79" spans="2:7" x14ac:dyDescent="0.15">
      <c r="B79" s="2"/>
    </row>
    <row r="80" spans="2:7" x14ac:dyDescent="0.15">
      <c r="B80" s="2"/>
    </row>
    <row r="81" spans="2:2" x14ac:dyDescent="0.15">
      <c r="B81" s="2"/>
    </row>
    <row r="82" spans="2:2" x14ac:dyDescent="0.15">
      <c r="B82" s="2"/>
    </row>
    <row r="83" spans="2:2" x14ac:dyDescent="0.15">
      <c r="B83" s="2"/>
    </row>
    <row r="84" spans="2:2" x14ac:dyDescent="0.15">
      <c r="B84" s="2"/>
    </row>
    <row r="85" spans="2:2" x14ac:dyDescent="0.15">
      <c r="B85" s="2"/>
    </row>
    <row r="86" spans="2:2" x14ac:dyDescent="0.15">
      <c r="B86" s="2"/>
    </row>
    <row r="87" spans="2:2" x14ac:dyDescent="0.15">
      <c r="B87" s="2"/>
    </row>
    <row r="88" spans="2:2" x14ac:dyDescent="0.15">
      <c r="B88" s="2"/>
    </row>
    <row r="89" spans="2:2" x14ac:dyDescent="0.15">
      <c r="B89" s="2"/>
    </row>
    <row r="90" spans="2:2" x14ac:dyDescent="0.15">
      <c r="B90" s="2"/>
    </row>
    <row r="91" spans="2:2" x14ac:dyDescent="0.15">
      <c r="B91" s="2"/>
    </row>
    <row r="92" spans="2:2" x14ac:dyDescent="0.15">
      <c r="B92" s="2"/>
    </row>
    <row r="93" spans="2:2" x14ac:dyDescent="0.15">
      <c r="B93" s="2"/>
    </row>
    <row r="94" spans="2:2" x14ac:dyDescent="0.15">
      <c r="B94" s="2"/>
    </row>
    <row r="95" spans="2:2" x14ac:dyDescent="0.15">
      <c r="B95" s="2"/>
    </row>
    <row r="96" spans="2:2" x14ac:dyDescent="0.15">
      <c r="B96" s="2"/>
    </row>
    <row r="97" spans="2:2" x14ac:dyDescent="0.15">
      <c r="B97" s="2"/>
    </row>
    <row r="98" spans="2:2" x14ac:dyDescent="0.15">
      <c r="B98" s="2"/>
    </row>
    <row r="99" spans="2:2" x14ac:dyDescent="0.15">
      <c r="B99" s="2"/>
    </row>
    <row r="100" spans="2:2" x14ac:dyDescent="0.15">
      <c r="B100" s="2"/>
    </row>
    <row r="101" spans="2:2" x14ac:dyDescent="0.15">
      <c r="B101" s="2"/>
    </row>
    <row r="102" spans="2:2" x14ac:dyDescent="0.15">
      <c r="B102" s="2"/>
    </row>
    <row r="103" spans="2:2" x14ac:dyDescent="0.15">
      <c r="B103" s="2"/>
    </row>
    <row r="104" spans="2:2" x14ac:dyDescent="0.15">
      <c r="B104" s="2"/>
    </row>
    <row r="105" spans="2:2" x14ac:dyDescent="0.15">
      <c r="B105" s="2"/>
    </row>
    <row r="106" spans="2:2" x14ac:dyDescent="0.15">
      <c r="B106" s="2"/>
    </row>
    <row r="107" spans="2:2" x14ac:dyDescent="0.15">
      <c r="B107" s="2"/>
    </row>
    <row r="108" spans="2:2" x14ac:dyDescent="0.15">
      <c r="B108" s="2"/>
    </row>
    <row r="109" spans="2:2" x14ac:dyDescent="0.15">
      <c r="B109" s="2"/>
    </row>
    <row r="110" spans="2:2" x14ac:dyDescent="0.15">
      <c r="B110" s="2"/>
    </row>
    <row r="111" spans="2:2" x14ac:dyDescent="0.15">
      <c r="B111" s="2"/>
    </row>
    <row r="112" spans="2:2" x14ac:dyDescent="0.15">
      <c r="B112" s="2"/>
    </row>
    <row r="113" spans="2:2" x14ac:dyDescent="0.15">
      <c r="B113" s="2"/>
    </row>
    <row r="114" spans="2:2" x14ac:dyDescent="0.15">
      <c r="B114" s="2"/>
    </row>
    <row r="115" spans="2:2" x14ac:dyDescent="0.15">
      <c r="B115" s="2"/>
    </row>
    <row r="116" spans="2:2" x14ac:dyDescent="0.15">
      <c r="B116" s="2"/>
    </row>
    <row r="117" spans="2:2" x14ac:dyDescent="0.15">
      <c r="B117" s="2"/>
    </row>
    <row r="118" spans="2:2" x14ac:dyDescent="0.15">
      <c r="B118" s="2"/>
    </row>
    <row r="119" spans="2:2" x14ac:dyDescent="0.15">
      <c r="B119" s="2"/>
    </row>
    <row r="120" spans="2:2" x14ac:dyDescent="0.15">
      <c r="B120" s="2"/>
    </row>
    <row r="121" spans="2:2" x14ac:dyDescent="0.15">
      <c r="B121" s="2"/>
    </row>
    <row r="122" spans="2:2" x14ac:dyDescent="0.15">
      <c r="B122" s="2"/>
    </row>
    <row r="123" spans="2:2" x14ac:dyDescent="0.15">
      <c r="B123" s="2"/>
    </row>
    <row r="124" spans="2:2" x14ac:dyDescent="0.15">
      <c r="B124" s="2"/>
    </row>
    <row r="125" spans="2:2" x14ac:dyDescent="0.15">
      <c r="B125" s="2"/>
    </row>
    <row r="126" spans="2:2" x14ac:dyDescent="0.15">
      <c r="B126" s="2"/>
    </row>
    <row r="127" spans="2:2" x14ac:dyDescent="0.15">
      <c r="B127" s="2"/>
    </row>
    <row r="128" spans="2:2" x14ac:dyDescent="0.15">
      <c r="B128" s="2"/>
    </row>
    <row r="129" spans="2:2" x14ac:dyDescent="0.15">
      <c r="B129" s="2"/>
    </row>
    <row r="130" spans="2:2" x14ac:dyDescent="0.15">
      <c r="B130" s="2"/>
    </row>
  </sheetData>
  <sheetProtection sheet="1"/>
  <mergeCells count="2">
    <mergeCell ref="G1:I2"/>
    <mergeCell ref="A11:A12"/>
  </mergeCells>
  <phoneticPr fontId="2"/>
  <pageMargins left="0.43307086614173229" right="0.23622047244094491" top="0.55118110236220474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【入力ｼｰﾄ】支援課提出用</vt:lpstr>
      <vt:lpstr>ｾﾝﾀｰ控</vt:lpstr>
      <vt:lpstr>市町村控</vt:lpstr>
      <vt:lpstr>融資機関控</vt:lpstr>
      <vt:lpstr>ｺｰﾄﾞ表</vt:lpstr>
      <vt:lpstr>償還表①</vt:lpstr>
      <vt:lpstr>償還表②</vt:lpstr>
      <vt:lpstr>償還表③</vt:lpstr>
      <vt:lpstr>【入力ｼｰﾄ】支援課提出用!Print_Area</vt:lpstr>
      <vt:lpstr>ｾﾝﾀｰ控!Print_Area</vt:lpstr>
      <vt:lpstr>市町村控!Print_Area</vt:lpstr>
      <vt:lpstr>償還表①!Print_Area</vt:lpstr>
      <vt:lpstr>償還表②!Print_Area</vt:lpstr>
      <vt:lpstr>償還表③!Print_Area</vt:lpstr>
      <vt:lpstr>融資機関控!Print_Area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2022-05-02T06:42:58Z</cp:lastPrinted>
  <dcterms:created xsi:type="dcterms:W3CDTF">2000-04-04T04:40:44Z</dcterms:created>
  <dcterms:modified xsi:type="dcterms:W3CDTF">2022-08-24T05:25:24Z</dcterms:modified>
</cp:coreProperties>
</file>